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REG4 (CALABARZON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'REG4 (CALABARZON)'!$V:$AD</definedName>
    <definedName name="_xlnm.Print_Titles" localSheetId="0">'REG4 (CALABARZON)'!$A:$A,'REG4 (CALABARZON)'!$1:$5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8" i="1" l="1"/>
  <c r="V78" i="1"/>
  <c r="X78" i="1" s="1"/>
  <c r="Y78" i="1" s="1"/>
  <c r="Q78" i="1"/>
  <c r="S78" i="1" s="1"/>
  <c r="T78" i="1" s="1"/>
  <c r="N78" i="1"/>
  <c r="O78" i="1" s="1"/>
  <c r="L78" i="1"/>
  <c r="G78" i="1"/>
  <c r="I78" i="1" s="1"/>
  <c r="J78" i="1" s="1"/>
  <c r="B78" i="1"/>
  <c r="AA78" i="1" s="1"/>
  <c r="AC78" i="1" s="1"/>
  <c r="AD78" i="1" s="1"/>
  <c r="AB77" i="1"/>
  <c r="W77" i="1"/>
  <c r="R77" i="1"/>
  <c r="Q77" i="1"/>
  <c r="S77" i="1" s="1"/>
  <c r="T77" i="1" s="1"/>
  <c r="M77" i="1"/>
  <c r="L77" i="1"/>
  <c r="N77" i="1" s="1"/>
  <c r="O77" i="1" s="1"/>
  <c r="H77" i="1"/>
  <c r="C77" i="1"/>
  <c r="B77" i="1"/>
  <c r="D77" i="1" s="1"/>
  <c r="E77" i="1" s="1"/>
  <c r="R76" i="1"/>
  <c r="Q76" i="1"/>
  <c r="S76" i="1" s="1"/>
  <c r="T76" i="1" s="1"/>
  <c r="M76" i="1"/>
  <c r="L76" i="1"/>
  <c r="N76" i="1" s="1"/>
  <c r="O76" i="1" s="1"/>
  <c r="C76" i="1"/>
  <c r="B76" i="1"/>
  <c r="D76" i="1" s="1"/>
  <c r="E76" i="1" s="1"/>
  <c r="AB75" i="1"/>
  <c r="AB76" i="1" s="1"/>
  <c r="AA75" i="1"/>
  <c r="AC75" i="1" s="1"/>
  <c r="AD75" i="1" s="1"/>
  <c r="W75" i="1"/>
  <c r="W76" i="1" s="1"/>
  <c r="V75" i="1"/>
  <c r="X75" i="1" s="1"/>
  <c r="Y75" i="1" s="1"/>
  <c r="T75" i="1"/>
  <c r="R75" i="1"/>
  <c r="Q75" i="1"/>
  <c r="M75" i="1"/>
  <c r="L75" i="1"/>
  <c r="N75" i="1" s="1"/>
  <c r="O75" i="1" s="1"/>
  <c r="I75" i="1"/>
  <c r="J75" i="1" s="1"/>
  <c r="H75" i="1"/>
  <c r="H76" i="1" s="1"/>
  <c r="G75" i="1"/>
  <c r="C75" i="1"/>
  <c r="B75" i="1"/>
  <c r="D75" i="1" s="1"/>
  <c r="E75" i="1" s="1"/>
  <c r="AB74" i="1"/>
  <c r="X74" i="1"/>
  <c r="Y74" i="1" s="1"/>
  <c r="V74" i="1"/>
  <c r="V77" i="1" s="1"/>
  <c r="X77" i="1" s="1"/>
  <c r="Y77" i="1" s="1"/>
  <c r="Q74" i="1"/>
  <c r="S74" i="1" s="1"/>
  <c r="T74" i="1" s="1"/>
  <c r="L74" i="1"/>
  <c r="N74" i="1" s="1"/>
  <c r="O74" i="1" s="1"/>
  <c r="G74" i="1"/>
  <c r="G77" i="1" s="1"/>
  <c r="I77" i="1" s="1"/>
  <c r="J77" i="1" s="1"/>
  <c r="D74" i="1"/>
  <c r="E74" i="1" s="1"/>
  <c r="B74" i="1"/>
  <c r="AB73" i="1"/>
  <c r="AA73" i="1"/>
  <c r="AD73" i="1" s="1"/>
  <c r="Y73" i="1"/>
  <c r="T73" i="1"/>
  <c r="O73" i="1"/>
  <c r="J73" i="1"/>
  <c r="E73" i="1"/>
  <c r="AB72" i="1"/>
  <c r="Y72" i="1"/>
  <c r="T72" i="1"/>
  <c r="J72" i="1"/>
  <c r="E72" i="1"/>
  <c r="W71" i="1"/>
  <c r="V71" i="1"/>
  <c r="X71" i="1" s="1"/>
  <c r="Y71" i="1" s="1"/>
  <c r="R71" i="1"/>
  <c r="M71" i="1"/>
  <c r="H71" i="1"/>
  <c r="G71" i="1"/>
  <c r="I71" i="1" s="1"/>
  <c r="J71" i="1" s="1"/>
  <c r="C71" i="1"/>
  <c r="W70" i="1"/>
  <c r="V70" i="1"/>
  <c r="X70" i="1" s="1"/>
  <c r="Y70" i="1" s="1"/>
  <c r="R70" i="1"/>
  <c r="M70" i="1"/>
  <c r="H70" i="1"/>
  <c r="C70" i="1"/>
  <c r="W69" i="1"/>
  <c r="R69" i="1"/>
  <c r="M69" i="1"/>
  <c r="H69" i="1"/>
  <c r="C69" i="1"/>
  <c r="AB68" i="1"/>
  <c r="AA68" i="1"/>
  <c r="AC68" i="1" s="1"/>
  <c r="AD68" i="1" s="1"/>
  <c r="W68" i="1"/>
  <c r="V68" i="1"/>
  <c r="X68" i="1" s="1"/>
  <c r="Q68" i="1"/>
  <c r="S68" i="1" s="1"/>
  <c r="T68" i="1" s="1"/>
  <c r="N68" i="1"/>
  <c r="L68" i="1"/>
  <c r="L70" i="1" s="1"/>
  <c r="N70" i="1" s="1"/>
  <c r="O70" i="1" s="1"/>
  <c r="G68" i="1"/>
  <c r="G70" i="1" s="1"/>
  <c r="I70" i="1" s="1"/>
  <c r="J70" i="1" s="1"/>
  <c r="B68" i="1"/>
  <c r="D68" i="1" s="1"/>
  <c r="E68" i="1" s="1"/>
  <c r="AB67" i="1"/>
  <c r="V67" i="1"/>
  <c r="V69" i="1" s="1"/>
  <c r="Y69" i="1" s="1"/>
  <c r="Q67" i="1"/>
  <c r="Q70" i="1" s="1"/>
  <c r="S70" i="1" s="1"/>
  <c r="T70" i="1" s="1"/>
  <c r="N67" i="1"/>
  <c r="O67" i="1" s="1"/>
  <c r="L67" i="1"/>
  <c r="G67" i="1"/>
  <c r="I67" i="1" s="1"/>
  <c r="J67" i="1" s="1"/>
  <c r="B67" i="1"/>
  <c r="B70" i="1" s="1"/>
  <c r="D70" i="1" s="1"/>
  <c r="E70" i="1" s="1"/>
  <c r="AB66" i="1"/>
  <c r="AB69" i="1" s="1"/>
  <c r="Y66" i="1"/>
  <c r="X66" i="1"/>
  <c r="V66" i="1"/>
  <c r="Q66" i="1"/>
  <c r="Q71" i="1" s="1"/>
  <c r="S71" i="1" s="1"/>
  <c r="T71" i="1" s="1"/>
  <c r="L66" i="1"/>
  <c r="L69" i="1" s="1"/>
  <c r="O69" i="1" s="1"/>
  <c r="I66" i="1"/>
  <c r="J66" i="1" s="1"/>
  <c r="G66" i="1"/>
  <c r="G69" i="1" s="1"/>
  <c r="J69" i="1" s="1"/>
  <c r="B66" i="1"/>
  <c r="AA66" i="1" s="1"/>
  <c r="W62" i="1"/>
  <c r="V62" i="1"/>
  <c r="X62" i="1" s="1"/>
  <c r="Y62" i="1" s="1"/>
  <c r="R62" i="1"/>
  <c r="Q62" i="1"/>
  <c r="S62" i="1" s="1"/>
  <c r="T62" i="1" s="1"/>
  <c r="M62" i="1"/>
  <c r="L62" i="1"/>
  <c r="N62" i="1" s="1"/>
  <c r="O62" i="1" s="1"/>
  <c r="H62" i="1"/>
  <c r="AB62" i="1" s="1"/>
  <c r="G62" i="1"/>
  <c r="I62" i="1" s="1"/>
  <c r="J62" i="1" s="1"/>
  <c r="C62" i="1"/>
  <c r="B62" i="1"/>
  <c r="D62" i="1" s="1"/>
  <c r="E62" i="1" s="1"/>
  <c r="W61" i="1"/>
  <c r="V61" i="1"/>
  <c r="X61" i="1" s="1"/>
  <c r="Y61" i="1" s="1"/>
  <c r="R61" i="1"/>
  <c r="Q61" i="1"/>
  <c r="S61" i="1" s="1"/>
  <c r="T61" i="1" s="1"/>
  <c r="M61" i="1"/>
  <c r="L61" i="1"/>
  <c r="N61" i="1" s="1"/>
  <c r="O61" i="1" s="1"/>
  <c r="H61" i="1"/>
  <c r="AB61" i="1" s="1"/>
  <c r="G61" i="1"/>
  <c r="I61" i="1" s="1"/>
  <c r="J61" i="1" s="1"/>
  <c r="C61" i="1"/>
  <c r="B61" i="1"/>
  <c r="D61" i="1" s="1"/>
  <c r="E61" i="1" s="1"/>
  <c r="AA60" i="1"/>
  <c r="AC60" i="1" s="1"/>
  <c r="AD60" i="1" s="1"/>
  <c r="W60" i="1"/>
  <c r="V60" i="1"/>
  <c r="X60" i="1" s="1"/>
  <c r="Y60" i="1" s="1"/>
  <c r="R60" i="1"/>
  <c r="Q60" i="1"/>
  <c r="S60" i="1" s="1"/>
  <c r="T60" i="1" s="1"/>
  <c r="M60" i="1"/>
  <c r="L60" i="1"/>
  <c r="N60" i="1" s="1"/>
  <c r="O60" i="1" s="1"/>
  <c r="H60" i="1"/>
  <c r="G60" i="1"/>
  <c r="I60" i="1" s="1"/>
  <c r="J60" i="1" s="1"/>
  <c r="D60" i="1"/>
  <c r="C60" i="1"/>
  <c r="B60" i="1"/>
  <c r="W59" i="1"/>
  <c r="V59" i="1"/>
  <c r="X59" i="1" s="1"/>
  <c r="Y59" i="1" s="1"/>
  <c r="S59" i="1"/>
  <c r="T59" i="1" s="1"/>
  <c r="R59" i="1"/>
  <c r="Q59" i="1"/>
  <c r="M59" i="1"/>
  <c r="L59" i="1"/>
  <c r="N59" i="1" s="1"/>
  <c r="O59" i="1" s="1"/>
  <c r="H59" i="1"/>
  <c r="G59" i="1"/>
  <c r="AA59" i="1" s="1"/>
  <c r="AC59" i="1" s="1"/>
  <c r="AD59" i="1" s="1"/>
  <c r="D59" i="1"/>
  <c r="E59" i="1" s="1"/>
  <c r="C59" i="1"/>
  <c r="AB59" i="1" s="1"/>
  <c r="B59" i="1"/>
  <c r="W58" i="1"/>
  <c r="V58" i="1"/>
  <c r="X58" i="1" s="1"/>
  <c r="Y58" i="1" s="1"/>
  <c r="S58" i="1"/>
  <c r="T58" i="1" s="1"/>
  <c r="R58" i="1"/>
  <c r="Q58" i="1"/>
  <c r="M58" i="1"/>
  <c r="L58" i="1"/>
  <c r="N58" i="1" s="1"/>
  <c r="O58" i="1" s="1"/>
  <c r="H58" i="1"/>
  <c r="G58" i="1"/>
  <c r="AA58" i="1" s="1"/>
  <c r="AC58" i="1" s="1"/>
  <c r="AD58" i="1" s="1"/>
  <c r="D58" i="1"/>
  <c r="E58" i="1" s="1"/>
  <c r="C58" i="1"/>
  <c r="AB58" i="1" s="1"/>
  <c r="B58" i="1"/>
  <c r="AB55" i="1"/>
  <c r="AA55" i="1"/>
  <c r="AC55" i="1" s="1"/>
  <c r="AD55" i="1" s="1"/>
  <c r="Y55" i="1"/>
  <c r="X55" i="1"/>
  <c r="S55" i="1"/>
  <c r="T55" i="1" s="1"/>
  <c r="N55" i="1"/>
  <c r="O55" i="1" s="1"/>
  <c r="I55" i="1"/>
  <c r="J55" i="1" s="1"/>
  <c r="E55" i="1"/>
  <c r="D55" i="1"/>
  <c r="AB54" i="1"/>
  <c r="AA54" i="1"/>
  <c r="AC54" i="1" s="1"/>
  <c r="AD54" i="1" s="1"/>
  <c r="X54" i="1"/>
  <c r="Y54" i="1" s="1"/>
  <c r="S54" i="1"/>
  <c r="T54" i="1" s="1"/>
  <c r="N54" i="1"/>
  <c r="O54" i="1" s="1"/>
  <c r="J54" i="1"/>
  <c r="I54" i="1"/>
  <c r="D54" i="1"/>
  <c r="E54" i="1" s="1"/>
  <c r="AB53" i="1"/>
  <c r="AA53" i="1"/>
  <c r="AC53" i="1" s="1"/>
  <c r="AD53" i="1" s="1"/>
  <c r="X53" i="1"/>
  <c r="Y53" i="1" s="1"/>
  <c r="S53" i="1"/>
  <c r="T53" i="1" s="1"/>
  <c r="O53" i="1"/>
  <c r="N53" i="1"/>
  <c r="I53" i="1"/>
  <c r="J53" i="1" s="1"/>
  <c r="E53" i="1"/>
  <c r="D53" i="1"/>
  <c r="AB52" i="1"/>
  <c r="AA52" i="1"/>
  <c r="AC52" i="1" s="1"/>
  <c r="AD52" i="1" s="1"/>
  <c r="X52" i="1"/>
  <c r="Y52" i="1" s="1"/>
  <c r="T52" i="1"/>
  <c r="S52" i="1"/>
  <c r="N52" i="1"/>
  <c r="O52" i="1" s="1"/>
  <c r="J52" i="1"/>
  <c r="I52" i="1"/>
  <c r="D52" i="1"/>
  <c r="E52" i="1" s="1"/>
  <c r="W51" i="1"/>
  <c r="V51" i="1"/>
  <c r="X51" i="1" s="1"/>
  <c r="Y51" i="1" s="1"/>
  <c r="R51" i="1"/>
  <c r="Q51" i="1"/>
  <c r="S51" i="1" s="1"/>
  <c r="T51" i="1" s="1"/>
  <c r="N51" i="1"/>
  <c r="O51" i="1" s="1"/>
  <c r="M51" i="1"/>
  <c r="L51" i="1"/>
  <c r="H51" i="1"/>
  <c r="G51" i="1"/>
  <c r="I51" i="1" s="1"/>
  <c r="J51" i="1" s="1"/>
  <c r="C51" i="1"/>
  <c r="B51" i="1"/>
  <c r="D51" i="1" s="1"/>
  <c r="E51" i="1" s="1"/>
  <c r="AC50" i="1"/>
  <c r="AD50" i="1" s="1"/>
  <c r="AB50" i="1"/>
  <c r="AB51" i="1" s="1"/>
  <c r="AA50" i="1"/>
  <c r="AA51" i="1" s="1"/>
  <c r="AC51" i="1" s="1"/>
  <c r="AD51" i="1" s="1"/>
  <c r="Y50" i="1"/>
  <c r="X50" i="1"/>
  <c r="S50" i="1"/>
  <c r="T50" i="1" s="1"/>
  <c r="O50" i="1"/>
  <c r="N50" i="1"/>
  <c r="I50" i="1"/>
  <c r="J50" i="1" s="1"/>
  <c r="D50" i="1"/>
  <c r="E50" i="1" s="1"/>
  <c r="W48" i="1"/>
  <c r="V48" i="1"/>
  <c r="X48" i="1" s="1"/>
  <c r="Y48" i="1" s="1"/>
  <c r="R48" i="1"/>
  <c r="Q48" i="1"/>
  <c r="S48" i="1" s="1"/>
  <c r="T48" i="1" s="1"/>
  <c r="M48" i="1"/>
  <c r="L48" i="1"/>
  <c r="N48" i="1" s="1"/>
  <c r="O48" i="1" s="1"/>
  <c r="H48" i="1"/>
  <c r="G48" i="1"/>
  <c r="I48" i="1" s="1"/>
  <c r="J48" i="1" s="1"/>
  <c r="C48" i="1"/>
  <c r="B48" i="1"/>
  <c r="D48" i="1" s="1"/>
  <c r="E48" i="1" s="1"/>
  <c r="AB47" i="1"/>
  <c r="AB48" i="1" s="1"/>
  <c r="AA47" i="1"/>
  <c r="AC47" i="1" s="1"/>
  <c r="AD47" i="1" s="1"/>
  <c r="X47" i="1"/>
  <c r="Y47" i="1" s="1"/>
  <c r="T47" i="1"/>
  <c r="S47" i="1"/>
  <c r="N47" i="1"/>
  <c r="O47" i="1" s="1"/>
  <c r="I47" i="1"/>
  <c r="J47" i="1" s="1"/>
  <c r="D47" i="1"/>
  <c r="E47" i="1" s="1"/>
  <c r="AB40" i="1"/>
  <c r="AA40" i="1"/>
  <c r="AC40" i="1" s="1"/>
  <c r="AD40" i="1" s="1"/>
  <c r="Y40" i="1"/>
  <c r="X40" i="1"/>
  <c r="S40" i="1"/>
  <c r="T40" i="1" s="1"/>
  <c r="N40" i="1"/>
  <c r="O40" i="1" s="1"/>
  <c r="I40" i="1"/>
  <c r="J40" i="1" s="1"/>
  <c r="E40" i="1"/>
  <c r="D40" i="1"/>
  <c r="AB39" i="1"/>
  <c r="AA39" i="1"/>
  <c r="AC39" i="1" s="1"/>
  <c r="AD39" i="1" s="1"/>
  <c r="X39" i="1"/>
  <c r="Y39" i="1" s="1"/>
  <c r="S39" i="1"/>
  <c r="T39" i="1" s="1"/>
  <c r="N39" i="1"/>
  <c r="O39" i="1" s="1"/>
  <c r="J39" i="1"/>
  <c r="I39" i="1"/>
  <c r="D39" i="1"/>
  <c r="E39" i="1" s="1"/>
  <c r="AB38" i="1"/>
  <c r="AA38" i="1"/>
  <c r="AC38" i="1" s="1"/>
  <c r="AD38" i="1" s="1"/>
  <c r="X38" i="1"/>
  <c r="Y38" i="1" s="1"/>
  <c r="S38" i="1"/>
  <c r="T38" i="1" s="1"/>
  <c r="O38" i="1"/>
  <c r="N38" i="1"/>
  <c r="I38" i="1"/>
  <c r="J38" i="1" s="1"/>
  <c r="E38" i="1"/>
  <c r="D38" i="1"/>
  <c r="AB32" i="1"/>
  <c r="AA32" i="1"/>
  <c r="AC32" i="1" s="1"/>
  <c r="AD32" i="1" s="1"/>
  <c r="X32" i="1"/>
  <c r="T32" i="1"/>
  <c r="S32" i="1"/>
  <c r="O32" i="1"/>
  <c r="N32" i="1"/>
  <c r="J32" i="1"/>
  <c r="I32" i="1"/>
  <c r="D32" i="1"/>
  <c r="AB29" i="1"/>
  <c r="AA29" i="1"/>
  <c r="AC29" i="1" s="1"/>
  <c r="AD29" i="1" s="1"/>
  <c r="X29" i="1"/>
  <c r="Y29" i="1" s="1"/>
  <c r="T29" i="1"/>
  <c r="S29" i="1"/>
  <c r="N29" i="1"/>
  <c r="O29" i="1" s="1"/>
  <c r="J29" i="1"/>
  <c r="I29" i="1"/>
  <c r="D29" i="1"/>
  <c r="AB28" i="1"/>
  <c r="AC28" i="1" s="1"/>
  <c r="AD28" i="1" s="1"/>
  <c r="AA28" i="1"/>
  <c r="X28" i="1"/>
  <c r="Y28" i="1" s="1"/>
  <c r="S28" i="1"/>
  <c r="T28" i="1" s="1"/>
  <c r="N28" i="1"/>
  <c r="O28" i="1" s="1"/>
  <c r="I28" i="1"/>
  <c r="J28" i="1" s="1"/>
  <c r="D28" i="1"/>
  <c r="E28" i="1" s="1"/>
  <c r="AB25" i="1"/>
  <c r="AA25" i="1"/>
  <c r="X25" i="1"/>
  <c r="Y25" i="1" s="1"/>
  <c r="T25" i="1"/>
  <c r="S25" i="1"/>
  <c r="N25" i="1"/>
  <c r="O25" i="1" s="1"/>
  <c r="I25" i="1"/>
  <c r="J25" i="1" s="1"/>
  <c r="D25" i="1"/>
  <c r="E25" i="1" s="1"/>
  <c r="AC23" i="1"/>
  <c r="AD23" i="1" s="1"/>
  <c r="AB23" i="1"/>
  <c r="AB71" i="1" s="1"/>
  <c r="AA23" i="1"/>
  <c r="AA71" i="1" s="1"/>
  <c r="AC71" i="1" s="1"/>
  <c r="AD71" i="1" s="1"/>
  <c r="X23" i="1"/>
  <c r="Y23" i="1" s="1"/>
  <c r="S23" i="1"/>
  <c r="T23" i="1" s="1"/>
  <c r="N23" i="1"/>
  <c r="O23" i="1" s="1"/>
  <c r="J23" i="1"/>
  <c r="I23" i="1"/>
  <c r="D23" i="1"/>
  <c r="E23" i="1" s="1"/>
  <c r="V22" i="1"/>
  <c r="V24" i="1" s="1"/>
  <c r="G22" i="1"/>
  <c r="G27" i="1" s="1"/>
  <c r="AB21" i="1"/>
  <c r="AA21" i="1"/>
  <c r="AC21" i="1" s="1"/>
  <c r="AD21" i="1" s="1"/>
  <c r="X21" i="1"/>
  <c r="Y21" i="1" s="1"/>
  <c r="S21" i="1"/>
  <c r="T21" i="1" s="1"/>
  <c r="O21" i="1"/>
  <c r="N21" i="1"/>
  <c r="I21" i="1"/>
  <c r="J21" i="1" s="1"/>
  <c r="D21" i="1"/>
  <c r="E21" i="1" s="1"/>
  <c r="W20" i="1"/>
  <c r="W22" i="1" s="1"/>
  <c r="V20" i="1"/>
  <c r="Q20" i="1"/>
  <c r="Q22" i="1" s="1"/>
  <c r="L20" i="1"/>
  <c r="H20" i="1"/>
  <c r="G20" i="1"/>
  <c r="B20" i="1"/>
  <c r="B22" i="1" s="1"/>
  <c r="AB19" i="1"/>
  <c r="AA19" i="1"/>
  <c r="AC19" i="1" s="1"/>
  <c r="AD19" i="1" s="1"/>
  <c r="X19" i="1"/>
  <c r="Y19" i="1" s="1"/>
  <c r="T19" i="1"/>
  <c r="S19" i="1"/>
  <c r="N19" i="1"/>
  <c r="O19" i="1" s="1"/>
  <c r="I19" i="1"/>
  <c r="J19" i="1" s="1"/>
  <c r="D19" i="1"/>
  <c r="E19" i="1" s="1"/>
  <c r="AB18" i="1"/>
  <c r="AA18" i="1"/>
  <c r="AC18" i="1" s="1"/>
  <c r="AD18" i="1" s="1"/>
  <c r="Y18" i="1"/>
  <c r="X18" i="1"/>
  <c r="S18" i="1"/>
  <c r="T18" i="1" s="1"/>
  <c r="N18" i="1"/>
  <c r="O18" i="1" s="1"/>
  <c r="I18" i="1"/>
  <c r="J18" i="1" s="1"/>
  <c r="D18" i="1"/>
  <c r="E18" i="1" s="1"/>
  <c r="AB17" i="1"/>
  <c r="AC17" i="1" s="1"/>
  <c r="AD17" i="1" s="1"/>
  <c r="AA17" i="1"/>
  <c r="X17" i="1"/>
  <c r="Y17" i="1" s="1"/>
  <c r="S17" i="1"/>
  <c r="T17" i="1" s="1"/>
  <c r="N17" i="1"/>
  <c r="O17" i="1" s="1"/>
  <c r="I17" i="1"/>
  <c r="J17" i="1" s="1"/>
  <c r="D17" i="1"/>
  <c r="E17" i="1" s="1"/>
  <c r="AA15" i="1"/>
  <c r="W15" i="1"/>
  <c r="X15" i="1" s="1"/>
  <c r="Y15" i="1" s="1"/>
  <c r="R15" i="1"/>
  <c r="R20" i="1" s="1"/>
  <c r="M15" i="1"/>
  <c r="H15" i="1"/>
  <c r="I15" i="1" s="1"/>
  <c r="J15" i="1" s="1"/>
  <c r="C15" i="1"/>
  <c r="AB15" i="1" s="1"/>
  <c r="AB14" i="1"/>
  <c r="AA14" i="1"/>
  <c r="AC14" i="1" s="1"/>
  <c r="AD14" i="1" s="1"/>
  <c r="X14" i="1"/>
  <c r="Y14" i="1" s="1"/>
  <c r="S14" i="1"/>
  <c r="T14" i="1" s="1"/>
  <c r="O14" i="1"/>
  <c r="N14" i="1"/>
  <c r="I14" i="1"/>
  <c r="J14" i="1" s="1"/>
  <c r="E14" i="1"/>
  <c r="D14" i="1"/>
  <c r="AB13" i="1"/>
  <c r="AB70" i="1" s="1"/>
  <c r="AA13" i="1"/>
  <c r="X13" i="1"/>
  <c r="Y13" i="1" s="1"/>
  <c r="T13" i="1"/>
  <c r="S13" i="1"/>
  <c r="N13" i="1"/>
  <c r="O13" i="1" s="1"/>
  <c r="J13" i="1"/>
  <c r="I13" i="1"/>
  <c r="D13" i="1"/>
  <c r="E13" i="1" s="1"/>
  <c r="A4" i="1"/>
  <c r="A2" i="1"/>
  <c r="N15" i="1" l="1"/>
  <c r="O15" i="1" s="1"/>
  <c r="M20" i="1"/>
  <c r="M22" i="1" s="1"/>
  <c r="AB26" i="1"/>
  <c r="R22" i="1"/>
  <c r="S20" i="1"/>
  <c r="T20" i="1" s="1"/>
  <c r="W26" i="1"/>
  <c r="W27" i="1"/>
  <c r="W30" i="1" s="1"/>
  <c r="W24" i="1"/>
  <c r="Y24" i="1" s="1"/>
  <c r="AA70" i="1"/>
  <c r="AC70" i="1" s="1"/>
  <c r="AD70" i="1" s="1"/>
  <c r="AA20" i="1"/>
  <c r="AC13" i="1"/>
  <c r="AD13" i="1" s="1"/>
  <c r="H22" i="1"/>
  <c r="I20" i="1"/>
  <c r="J20" i="1" s="1"/>
  <c r="N20" i="1"/>
  <c r="O20" i="1" s="1"/>
  <c r="G30" i="1"/>
  <c r="AC15" i="1"/>
  <c r="AD15" i="1" s="1"/>
  <c r="B24" i="1"/>
  <c r="B27" i="1"/>
  <c r="B26" i="1"/>
  <c r="AC66" i="1"/>
  <c r="AD66" i="1" s="1"/>
  <c r="Q24" i="1"/>
  <c r="Q26" i="1"/>
  <c r="Q27" i="1"/>
  <c r="Q69" i="1"/>
  <c r="T69" i="1" s="1"/>
  <c r="AA74" i="1"/>
  <c r="I74" i="1"/>
  <c r="J74" i="1" s="1"/>
  <c r="X20" i="1"/>
  <c r="Y20" i="1" s="1"/>
  <c r="I68" i="1"/>
  <c r="J68" i="1" s="1"/>
  <c r="N66" i="1"/>
  <c r="O66" i="1" s="1"/>
  <c r="S15" i="1"/>
  <c r="T15" i="1" s="1"/>
  <c r="AB20" i="1"/>
  <c r="AB22" i="1" s="1"/>
  <c r="I58" i="1"/>
  <c r="J58" i="1" s="1"/>
  <c r="I59" i="1"/>
  <c r="J59" i="1" s="1"/>
  <c r="AA61" i="1"/>
  <c r="AC61" i="1" s="1"/>
  <c r="AD61" i="1" s="1"/>
  <c r="AA62" i="1"/>
  <c r="AC62" i="1" s="1"/>
  <c r="AD62" i="1" s="1"/>
  <c r="D67" i="1"/>
  <c r="E67" i="1" s="1"/>
  <c r="X67" i="1"/>
  <c r="Y67" i="1" s="1"/>
  <c r="B69" i="1"/>
  <c r="E69" i="1" s="1"/>
  <c r="S67" i="1"/>
  <c r="T67" i="1" s="1"/>
  <c r="G24" i="1"/>
  <c r="L22" i="1"/>
  <c r="S66" i="1"/>
  <c r="T66" i="1" s="1"/>
  <c r="AA67" i="1"/>
  <c r="AC67" i="1" s="1"/>
  <c r="AD67" i="1" s="1"/>
  <c r="L71" i="1"/>
  <c r="N71" i="1" s="1"/>
  <c r="O71" i="1" s="1"/>
  <c r="D78" i="1"/>
  <c r="E78" i="1" s="1"/>
  <c r="D15" i="1"/>
  <c r="E15" i="1" s="1"/>
  <c r="V26" i="1"/>
  <c r="Y26" i="1" s="1"/>
  <c r="X22" i="1"/>
  <c r="Y22" i="1" s="1"/>
  <c r="C20" i="1"/>
  <c r="C22" i="1" s="1"/>
  <c r="D22" i="1" s="1"/>
  <c r="E22" i="1" s="1"/>
  <c r="AA48" i="1"/>
  <c r="AC48" i="1" s="1"/>
  <c r="AD48" i="1" s="1"/>
  <c r="AC25" i="1"/>
  <c r="AD25" i="1" s="1"/>
  <c r="D20" i="1"/>
  <c r="E20" i="1" s="1"/>
  <c r="D66" i="1"/>
  <c r="E66" i="1" s="1"/>
  <c r="G76" i="1"/>
  <c r="I76" i="1" s="1"/>
  <c r="J76" i="1" s="1"/>
  <c r="V76" i="1"/>
  <c r="X76" i="1" s="1"/>
  <c r="Y76" i="1" s="1"/>
  <c r="I22" i="1"/>
  <c r="J22" i="1" s="1"/>
  <c r="V27" i="1"/>
  <c r="G26" i="1"/>
  <c r="B71" i="1"/>
  <c r="D71" i="1" s="1"/>
  <c r="E71" i="1" s="1"/>
  <c r="L27" i="1" l="1"/>
  <c r="N22" i="1"/>
  <c r="O22" i="1" s="1"/>
  <c r="L24" i="1"/>
  <c r="L26" i="1"/>
  <c r="E26" i="1"/>
  <c r="AA22" i="1"/>
  <c r="AC20" i="1"/>
  <c r="AD20" i="1" s="1"/>
  <c r="J24" i="1"/>
  <c r="D27" i="1"/>
  <c r="E27" i="1" s="1"/>
  <c r="B30" i="1"/>
  <c r="E24" i="1"/>
  <c r="W31" i="1"/>
  <c r="W33" i="1"/>
  <c r="W34" i="1" s="1"/>
  <c r="C26" i="1"/>
  <c r="C27" i="1"/>
  <c r="C30" i="1" s="1"/>
  <c r="C24" i="1"/>
  <c r="AC74" i="1"/>
  <c r="AD74" i="1" s="1"/>
  <c r="AA77" i="1"/>
  <c r="AC77" i="1" s="1"/>
  <c r="AD77" i="1" s="1"/>
  <c r="AA76" i="1"/>
  <c r="AC76" i="1" s="1"/>
  <c r="AD76" i="1" s="1"/>
  <c r="Q30" i="1"/>
  <c r="R24" i="1"/>
  <c r="R26" i="1"/>
  <c r="T26" i="1" s="1"/>
  <c r="R27" i="1"/>
  <c r="R30" i="1" s="1"/>
  <c r="G31" i="1"/>
  <c r="G33" i="1"/>
  <c r="V30" i="1"/>
  <c r="X27" i="1"/>
  <c r="Y27" i="1" s="1"/>
  <c r="T24" i="1"/>
  <c r="M27" i="1"/>
  <c r="M30" i="1" s="1"/>
  <c r="M24" i="1"/>
  <c r="M26" i="1"/>
  <c r="S22" i="1"/>
  <c r="T22" i="1" s="1"/>
  <c r="AB27" i="1"/>
  <c r="AB24" i="1"/>
  <c r="AA69" i="1"/>
  <c r="AD69" i="1" s="1"/>
  <c r="H26" i="1"/>
  <c r="J26" i="1" s="1"/>
  <c r="H27" i="1"/>
  <c r="H24" i="1"/>
  <c r="B33" i="1" l="1"/>
  <c r="D30" i="1"/>
  <c r="E30" i="1" s="1"/>
  <c r="B31" i="1"/>
  <c r="M31" i="1"/>
  <c r="M33" i="1"/>
  <c r="M34" i="1" s="1"/>
  <c r="Q33" i="1"/>
  <c r="Q31" i="1"/>
  <c r="T31" i="1" s="1"/>
  <c r="S30" i="1"/>
  <c r="T30" i="1" s="1"/>
  <c r="V33" i="1"/>
  <c r="X30" i="1"/>
  <c r="Y30" i="1" s="1"/>
  <c r="V31" i="1"/>
  <c r="Y31" i="1" s="1"/>
  <c r="AA27" i="1"/>
  <c r="AA24" i="1"/>
  <c r="AD24" i="1" s="1"/>
  <c r="AC22" i="1"/>
  <c r="AD22" i="1" s="1"/>
  <c r="AA26" i="1"/>
  <c r="AD26" i="1" s="1"/>
  <c r="H30" i="1"/>
  <c r="I27" i="1"/>
  <c r="J27" i="1" s="1"/>
  <c r="G34" i="1"/>
  <c r="O26" i="1"/>
  <c r="C33" i="1"/>
  <c r="C34" i="1" s="1"/>
  <c r="C31" i="1"/>
  <c r="O24" i="1"/>
  <c r="R33" i="1"/>
  <c r="R34" i="1" s="1"/>
  <c r="R31" i="1"/>
  <c r="S27" i="1"/>
  <c r="T27" i="1" s="1"/>
  <c r="AB33" i="1"/>
  <c r="AB34" i="1" s="1"/>
  <c r="AB30" i="1"/>
  <c r="AB31" i="1" s="1"/>
  <c r="N27" i="1"/>
  <c r="O27" i="1" s="1"/>
  <c r="L30" i="1"/>
  <c r="AC27" i="1" l="1"/>
  <c r="AD27" i="1" s="1"/>
  <c r="AA30" i="1"/>
  <c r="AA33" i="1"/>
  <c r="V34" i="1"/>
  <c r="Y34" i="1" s="1"/>
  <c r="X33" i="1"/>
  <c r="Y33" i="1" s="1"/>
  <c r="S33" i="1"/>
  <c r="T33" i="1" s="1"/>
  <c r="Q34" i="1"/>
  <c r="T34" i="1" s="1"/>
  <c r="H33" i="1"/>
  <c r="H31" i="1"/>
  <c r="J31" i="1" s="1"/>
  <c r="I30" i="1"/>
  <c r="J30" i="1" s="1"/>
  <c r="L31" i="1"/>
  <c r="O31" i="1" s="1"/>
  <c r="L33" i="1"/>
  <c r="N30" i="1"/>
  <c r="O30" i="1" s="1"/>
  <c r="E31" i="1"/>
  <c r="B34" i="1"/>
  <c r="E34" i="1" s="1"/>
  <c r="D33" i="1"/>
  <c r="E33" i="1" s="1"/>
  <c r="H34" i="1" l="1"/>
  <c r="J34" i="1" s="1"/>
  <c r="I33" i="1"/>
  <c r="J33" i="1" s="1"/>
  <c r="AC33" i="1"/>
  <c r="AD33" i="1" s="1"/>
  <c r="AA34" i="1"/>
  <c r="AD34" i="1" s="1"/>
  <c r="AC30" i="1"/>
  <c r="AD30" i="1" s="1"/>
  <c r="AA31" i="1"/>
  <c r="AD31" i="1" s="1"/>
  <c r="N33" i="1"/>
  <c r="O33" i="1" s="1"/>
  <c r="L34" i="1"/>
  <c r="O34" i="1" s="1"/>
</calcChain>
</file>

<file path=xl/sharedStrings.xml><?xml version="1.0" encoding="utf-8"?>
<sst xmlns="http://schemas.openxmlformats.org/spreadsheetml/2006/main" count="107" uniqueCount="74">
  <si>
    <t>REGION IV - A</t>
  </si>
  <si>
    <t>With Comparative Figures as of December 31, 2018</t>
  </si>
  <si>
    <t>(In Thousand)</t>
  </si>
  <si>
    <t>BATELEC I</t>
  </si>
  <si>
    <t>BATELEC II</t>
  </si>
  <si>
    <t>FLECO</t>
  </si>
  <si>
    <t>QUEZELCO I</t>
  </si>
  <si>
    <t>QUEZELCO II</t>
  </si>
  <si>
    <t>T O T A L</t>
  </si>
  <si>
    <t>Inc. / (Dec.)</t>
  </si>
  <si>
    <t>June</t>
  </si>
  <si>
    <t>Amount</t>
  </si>
  <si>
    <t>Percent</t>
  </si>
  <si>
    <t>STATEMENT OF OPERATIONS</t>
  </si>
  <si>
    <t xml:space="preserve">  Total Bills</t>
  </si>
  <si>
    <t xml:space="preserve">  Less:  RFSC</t>
  </si>
  <si>
    <t xml:space="preserve">            Universal Charge/FIT-All</t>
  </si>
  <si>
    <t xml:space="preserve">            Value Added Tax</t>
  </si>
  <si>
    <t xml:space="preserve">            Other Taxes</t>
  </si>
  <si>
    <t xml:space="preserve">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</si>
  <si>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</si>
  <si>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</si>
  <si>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</si>
  <si>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</si>
  <si>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</si>
  <si>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</si>
  <si>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</si>
  <si>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</si>
  <si>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</si>
  <si>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</si>
  <si>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</si>
  <si>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</si>
  <si>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</si>
  <si>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Cash-General Fund</t>
  </si>
  <si>
    <t xml:space="preserve">  Sinking Fund-Loan Fund</t>
  </si>
  <si>
    <t xml:space="preserve">  Sinking Fund-RF/RFSC</t>
  </si>
  <si>
    <t xml:space="preserve">  A/R - Energy Sales</t>
  </si>
  <si>
    <t xml:space="preserve">            Energy</t>
  </si>
  <si>
    <t xml:space="preserve">            RFSC</t>
  </si>
  <si>
    <t xml:space="preserve">            UC</t>
  </si>
  <si>
    <t xml:space="preserve">            VAT</t>
  </si>
  <si>
    <t xml:space="preserve">            FRANCHISE, BUSINESS, RPT &amp; OTHER TAXES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</si>
  <si>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</si>
  <si>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</si>
  <si>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</si>
  <si>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</si>
  <si>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</si>
  <si>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</si>
  <si>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</si>
  <si>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</si>
  <si>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</si>
  <si>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</si>
  <si>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</si>
  <si>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</si>
  <si>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</si>
  <si>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</si>
  <si>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</si>
  <si>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</si>
  <si>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</si>
  <si>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</si>
  <si>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</t>
  </si>
  <si>
    <t xml:space="preserve">  Average Systems Rate (P)</t>
  </si>
  <si>
    <t xml:space="preserve">  Average Power Cost (P)</t>
  </si>
  <si>
    <t xml:space="preserve">  Average Collection Period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</si>
  <si>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</si>
  <si>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</si>
  <si>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</si>
  <si>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</si>
  <si>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</si>
  <si>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</si>
  <si>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AAA - Mega Large</t>
  </si>
  <si>
    <t>AAA - Large</t>
  </si>
  <si>
    <t xml:space="preserve">  Average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</si>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</sst>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_)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1" applyNumberFormat="1" applyFont="1" applyFill="1"/>
    <xf numFmtId="43" fontId="2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43" fontId="2" fillId="0" borderId="0" xfId="1" applyNumberFormat="1" applyFont="1" applyFill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43" fontId="2" fillId="0" borderId="0" xfId="1" applyFont="1" applyFill="1"/>
    <xf numFmtId="165" fontId="2" fillId="0" borderId="0" xfId="0" applyNumberFormat="1" applyFont="1"/>
    <xf numFmtId="43" fontId="2" fillId="0" borderId="0" xfId="1" applyFont="1" applyFill="1" applyAlignment="1">
      <alignment horizontal="right"/>
    </xf>
    <xf numFmtId="43" fontId="2" fillId="0" borderId="0" xfId="1" applyFont="1" applyFill="1" applyAlignment="1">
      <alignment horizontal="left"/>
    </xf>
    <xf numFmtId="164" fontId="5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/>
    <xf numFmtId="43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Admin\Documents\COB%20Evaluation\Financial%20Profile\2023\Q2\Consolidated%20Financial%20Profile%20as%20of%20June%2030,%202023%20fas%20v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My%20Drive\AAA\USB%201\MARCH%202020%20FILES%20(KPS%20&amp;%20FP)\TREASURY\2022\EC%20Outstanding_June2022_MCS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Admin\Documents\COB%20Evaluation\Financial%20Profile\2023\Q2\Consolidated%20Financial%20Profile%20as%20of%20June%2030,%202023%20as%20of%20Nov%2030,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My%20Drive\AAA\USB%201\MARCH%202020%20FILES%20(KPS%20&amp;%20FP)\ABI\2021\FP\TECHNICAL%20Operations%202nd%20Quarter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Default.Default-THINK\Downloads\March%202019%20Financia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Financial Profile as of June 30, 2023</v>
          </cell>
        </row>
        <row r="3">
          <cell r="A3" t="str">
            <v>With Comparative Figures as of June 30, 2022</v>
          </cell>
        </row>
      </sheetData>
      <sheetData sheetId="9">
        <row r="2">
          <cell r="A2" t="str">
            <v>Financial Profile as of June 30, 2023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Financial Profile as of June 30, 2023</v>
          </cell>
        </row>
      </sheetData>
      <sheetData sheetId="19">
        <row r="2">
          <cell r="A2" t="str">
            <v>Financial Profile as of June 30, 2023</v>
          </cell>
        </row>
      </sheetData>
      <sheetData sheetId="20">
        <row r="2">
          <cell r="A2" t="str">
            <v>Financial Profile as of June 30, 2023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51">
          <cell r="D51">
            <v>113029.18554999999</v>
          </cell>
          <cell r="E51">
            <v>113029.18554999999</v>
          </cell>
          <cell r="F51">
            <v>0</v>
          </cell>
          <cell r="I51">
            <v>0</v>
          </cell>
          <cell r="K51">
            <v>1.593E-2</v>
          </cell>
        </row>
        <row r="52">
          <cell r="D52">
            <v>1059332.4638799999</v>
          </cell>
          <cell r="E52">
            <v>1075797.2491900001</v>
          </cell>
          <cell r="F52">
            <v>-16464.785310000181</v>
          </cell>
          <cell r="I52">
            <v>-2.0640819372862156</v>
          </cell>
          <cell r="K52">
            <v>89952.513619999998</v>
          </cell>
        </row>
        <row r="53">
          <cell r="D53">
            <v>743003.86047000007</v>
          </cell>
          <cell r="E53">
            <v>743465.14685000002</v>
          </cell>
          <cell r="F53">
            <v>-461.2863799999468</v>
          </cell>
          <cell r="I53">
            <v>-3.4374278010792542E-2</v>
          </cell>
          <cell r="K53">
            <v>197893.20629</v>
          </cell>
        </row>
        <row r="54">
          <cell r="D54">
            <v>151022.41759999999</v>
          </cell>
          <cell r="E54">
            <v>160917.50649999999</v>
          </cell>
          <cell r="F54">
            <v>-9895.0889000000025</v>
          </cell>
          <cell r="I54">
            <v>-1.7110874879213358</v>
          </cell>
          <cell r="K54">
            <v>187763.64864</v>
          </cell>
        </row>
        <row r="55">
          <cell r="D55">
            <v>196419.70447999999</v>
          </cell>
          <cell r="E55">
            <v>200893.88267999998</v>
          </cell>
          <cell r="F55">
            <v>-4474.1781999999948</v>
          </cell>
          <cell r="I55">
            <v>-1.086029900799949</v>
          </cell>
          <cell r="K55">
            <v>72051.146870000011</v>
          </cell>
        </row>
        <row r="56">
          <cell r="I56">
            <v>-0.99988270523572309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CURRENT"/>
      <sheetName val="ADVANCE"/>
      <sheetName val="NO ACCT"/>
      <sheetName val="SUMMARY-NEA"/>
      <sheetName val="OUTSTANDING"/>
      <sheetName val="status"/>
      <sheetName val="financial profile(mcso)"/>
      <sheetName val="NEA-BIT_FOR UPLOAD"/>
      <sheetName val="NEA-B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>
            <v>1045123.6998099999</v>
          </cell>
        </row>
        <row r="51">
          <cell r="D51">
            <v>113029.18554999999</v>
          </cell>
          <cell r="E51">
            <v>113029.18554999999</v>
          </cell>
          <cell r="F51">
            <v>0</v>
          </cell>
          <cell r="I51">
            <v>0</v>
          </cell>
          <cell r="K51">
            <v>1.593E-2</v>
          </cell>
        </row>
        <row r="52">
          <cell r="D52">
            <v>1027425.23188</v>
          </cell>
          <cell r="E52">
            <v>1043890.01719</v>
          </cell>
          <cell r="F52">
            <v>-16464.785310000065</v>
          </cell>
          <cell r="I52">
            <v>-2.0640819372862009</v>
          </cell>
          <cell r="K52">
            <v>111899.43962</v>
          </cell>
        </row>
        <row r="53">
          <cell r="D53">
            <v>698257.73991</v>
          </cell>
          <cell r="E53">
            <v>698725.96984999999</v>
          </cell>
          <cell r="F53">
            <v>-468.22993999999017</v>
          </cell>
          <cell r="I53">
            <v>-4.4850105149624744E-2</v>
          </cell>
          <cell r="K53">
            <v>175994.31772999998</v>
          </cell>
        </row>
        <row r="54">
          <cell r="D54">
            <v>130790.7916</v>
          </cell>
          <cell r="E54">
            <v>136420.95250000001</v>
          </cell>
          <cell r="F54">
            <v>-5630.1609000000171</v>
          </cell>
          <cell r="I54">
            <v>-2.011990441353054</v>
          </cell>
          <cell r="K54">
            <v>113464.1848</v>
          </cell>
        </row>
        <row r="55">
          <cell r="D55">
            <v>179940.68047999998</v>
          </cell>
          <cell r="E55">
            <v>184060.43667999998</v>
          </cell>
          <cell r="F55">
            <v>-4119.7562000000034</v>
          </cell>
          <cell r="I55">
            <v>-1.0000000485465652</v>
          </cell>
          <cell r="K55">
            <v>83378.226869999999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>
        <row r="67">
          <cell r="A67" t="str">
            <v xml:space="preserve">  MWH Generated/Purchased</v>
          </cell>
        </row>
      </sheetData>
      <sheetData sheetId="6"/>
      <sheetData sheetId="7"/>
      <sheetData sheetId="8"/>
      <sheetData sheetId="9">
        <row r="66">
          <cell r="A66" t="str">
            <v xml:space="preserve">  MWH Generated/Purchased</v>
          </cell>
          <cell r="B66">
            <v>270135.52444000001</v>
          </cell>
          <cell r="C66">
            <v>273741.75218000001</v>
          </cell>
          <cell r="D66">
            <v>-3606.2277400000021</v>
          </cell>
          <cell r="E66">
            <v>-1.3173831581339159</v>
          </cell>
          <cell r="G66">
            <v>623637.2665453403</v>
          </cell>
          <cell r="H66">
            <v>614802.68500000006</v>
          </cell>
          <cell r="I66">
            <v>8834.5815453402465</v>
          </cell>
          <cell r="J66">
            <v>1.4369783608443816</v>
          </cell>
          <cell r="L66">
            <v>71885.035000000003</v>
          </cell>
          <cell r="M66">
            <v>70699.456999999995</v>
          </cell>
          <cell r="N66">
            <v>1185.5780000000086</v>
          </cell>
          <cell r="O66">
            <v>1.6769265993089717</v>
          </cell>
          <cell r="Q66">
            <v>116882.27243200001</v>
          </cell>
          <cell r="R66">
            <v>121027.92625999999</v>
          </cell>
          <cell r="S66">
            <v>-4145.6538279999804</v>
          </cell>
          <cell r="T66">
            <v>-3.4253696284062731</v>
          </cell>
          <cell r="V66">
            <v>28448.606600000003</v>
          </cell>
        </row>
        <row r="67">
          <cell r="A67" t="str">
            <v xml:space="preserve">  MWH Sales</v>
          </cell>
          <cell r="B67">
            <v>241635.86515999999</v>
          </cell>
          <cell r="C67">
            <v>244491.04861</v>
          </cell>
          <cell r="D67">
            <v>-2855.1834500000114</v>
          </cell>
          <cell r="E67">
            <v>-1.1678069468115613</v>
          </cell>
          <cell r="G67">
            <v>566623.22224999999</v>
          </cell>
          <cell r="H67">
            <v>560583</v>
          </cell>
          <cell r="I67">
            <v>6040.2222499999916</v>
          </cell>
          <cell r="J67">
            <v>1.07748937267095</v>
          </cell>
          <cell r="L67">
            <v>64877.891000000003</v>
          </cell>
          <cell r="M67">
            <v>63689.358999999997</v>
          </cell>
          <cell r="N67">
            <v>1188.5320000000065</v>
          </cell>
          <cell r="O67">
            <v>1.8661390515800396</v>
          </cell>
          <cell r="Q67">
            <v>104121.08257</v>
          </cell>
          <cell r="R67">
            <v>105985.86477</v>
          </cell>
          <cell r="S67">
            <v>-1864.7822000000015</v>
          </cell>
          <cell r="T67">
            <v>-1.7594631171305406</v>
          </cell>
          <cell r="V67">
            <v>26251.264429999999</v>
          </cell>
        </row>
        <row r="68">
          <cell r="A68" t="str">
            <v xml:space="preserve">  MWH Coop Consumption</v>
          </cell>
          <cell r="B68">
            <v>344.30399999999997</v>
          </cell>
          <cell r="C68">
            <v>332.15199999999999</v>
          </cell>
          <cell r="D68">
            <v>12.151999999999987</v>
          </cell>
          <cell r="E68">
            <v>3.6585659577542771</v>
          </cell>
          <cell r="G68">
            <v>619.76300000000003</v>
          </cell>
          <cell r="H68">
            <v>598</v>
          </cell>
          <cell r="I68">
            <v>21.763000000000034</v>
          </cell>
          <cell r="J68">
            <v>3.639297658862882</v>
          </cell>
          <cell r="L68">
            <v>0</v>
          </cell>
          <cell r="M68">
            <v>0</v>
          </cell>
          <cell r="N68">
            <v>0</v>
          </cell>
          <cell r="Q68">
            <v>179.14452</v>
          </cell>
          <cell r="R68">
            <v>175.65135000000001</v>
          </cell>
          <cell r="S68">
            <v>3.4931699999999921</v>
          </cell>
          <cell r="T68">
            <v>1.9886952192510858</v>
          </cell>
          <cell r="V68">
            <v>0</v>
          </cell>
        </row>
        <row r="69">
          <cell r="A69" t="str">
            <v xml:space="preserve">  Systems Loss </v>
          </cell>
          <cell r="B69">
            <v>10.422677779372785</v>
          </cell>
          <cell r="C69">
            <v>10.56417274299629</v>
          </cell>
          <cell r="E69">
            <v>-0.14149496362350433</v>
          </cell>
          <cell r="G69">
            <v>9.0428016926791983</v>
          </cell>
          <cell r="H69">
            <v>8.7217714411901195</v>
          </cell>
          <cell r="J69">
            <v>0.32103025148907882</v>
          </cell>
          <cell r="L69">
            <v>9.7477089633468204</v>
          </cell>
          <cell r="M69">
            <v>9.9153491376885654</v>
          </cell>
          <cell r="O69">
            <v>-0.16764017434174505</v>
          </cell>
          <cell r="Q69">
            <v>10.76471656496927</v>
          </cell>
          <cell r="R69">
            <v>12.283454405442768</v>
          </cell>
          <cell r="T69">
            <v>-1.5187378404734986</v>
          </cell>
          <cell r="V69">
            <v>7.7239008605785404</v>
          </cell>
        </row>
        <row r="70">
          <cell r="A70" t="str">
            <v xml:space="preserve">  Average Systems Rate (P)</v>
          </cell>
          <cell r="B70">
            <v>12.09237466552567</v>
          </cell>
          <cell r="C70">
            <v>12.521693467170461</v>
          </cell>
          <cell r="D70">
            <v>-0.42931880164479175</v>
          </cell>
          <cell r="E70">
            <v>-3.4286001551657961</v>
          </cell>
          <cell r="G70">
            <v>11.220133479526355</v>
          </cell>
          <cell r="H70">
            <v>10.277662517262701</v>
          </cell>
          <cell r="I70">
            <v>0.94247096226365379</v>
          </cell>
          <cell r="J70">
            <v>9.1700905792601048</v>
          </cell>
          <cell r="L70">
            <v>14.017216213301385</v>
          </cell>
          <cell r="M70">
            <v>13.005892268911044</v>
          </cell>
          <cell r="N70">
            <v>1.011323944390341</v>
          </cell>
          <cell r="O70">
            <v>7.7758905231576012</v>
          </cell>
          <cell r="Q70">
            <v>13.584491678789883</v>
          </cell>
          <cell r="R70">
            <v>14.4813011788777</v>
          </cell>
          <cell r="S70">
            <v>-0.89680950008781757</v>
          </cell>
          <cell r="T70">
            <v>-6.1928792793557532</v>
          </cell>
          <cell r="V70">
            <v>13.571348571418127</v>
          </cell>
        </row>
        <row r="71">
          <cell r="A71" t="str">
            <v xml:space="preserve">  Average Power Cost (P)</v>
          </cell>
          <cell r="B71">
            <v>8.2126794017895293</v>
          </cell>
          <cell r="C71">
            <v>9.1280162217159955</v>
          </cell>
          <cell r="D71">
            <v>-0.91533681992646621</v>
          </cell>
          <cell r="E71">
            <v>-10.027773808605152</v>
          </cell>
          <cell r="G71">
            <v>7.7083028409279697</v>
          </cell>
          <cell r="H71">
            <v>6.8041033989791373</v>
          </cell>
          <cell r="I71">
            <v>0.90419944194883239</v>
          </cell>
          <cell r="J71">
            <v>13.289031470105158</v>
          </cell>
          <cell r="L71">
            <v>9.2989665467923874</v>
          </cell>
          <cell r="M71">
            <v>8.999752817479207</v>
          </cell>
          <cell r="N71">
            <v>0.29921372931318047</v>
          </cell>
          <cell r="O71">
            <v>3.3246883040170983</v>
          </cell>
          <cell r="Q71">
            <v>8.0920340201313099</v>
          </cell>
          <cell r="R71">
            <v>9.8809769457748633</v>
          </cell>
          <cell r="S71">
            <v>-1.7889429256435534</v>
          </cell>
          <cell r="T71">
            <v>-18.104919538431989</v>
          </cell>
          <cell r="V71">
            <v>8.1127866705429419</v>
          </cell>
        </row>
        <row r="72">
          <cell r="A72" t="str">
            <v xml:space="preserve">  Average Collection Period</v>
          </cell>
          <cell r="E72" t="e">
            <v>#DIV/0!</v>
          </cell>
          <cell r="J72" t="e">
            <v>#DIV/0!</v>
          </cell>
          <cell r="O72">
            <v>3</v>
          </cell>
          <cell r="T72">
            <v>0</v>
          </cell>
        </row>
        <row r="73">
          <cell r="A73" t="str">
            <v xml:space="preserve">  Collection Efficiency (%)</v>
          </cell>
          <cell r="B73">
            <v>97.09</v>
          </cell>
          <cell r="C73">
            <v>95.64</v>
          </cell>
          <cell r="E73">
            <v>1.4500000000000028</v>
          </cell>
          <cell r="G73">
            <v>98.51</v>
          </cell>
          <cell r="H73">
            <v>99.17</v>
          </cell>
          <cell r="J73">
            <v>-0.65999999999999659</v>
          </cell>
          <cell r="L73">
            <v>100</v>
          </cell>
          <cell r="M73">
            <v>100</v>
          </cell>
          <cell r="O73">
            <v>0</v>
          </cell>
          <cell r="Q73">
            <v>97.77</v>
          </cell>
          <cell r="R73">
            <v>97.67</v>
          </cell>
          <cell r="T73">
            <v>9.9999999999994316E-2</v>
          </cell>
          <cell r="V73">
            <v>100</v>
          </cell>
        </row>
        <row r="74">
          <cell r="A74" t="str">
            <v xml:space="preserve">  Number of Consumers</v>
          </cell>
          <cell r="B74">
            <v>192337</v>
          </cell>
          <cell r="C74">
            <v>186164</v>
          </cell>
          <cell r="D74">
            <v>6173</v>
          </cell>
          <cell r="E74">
            <v>3.3158935132463845</v>
          </cell>
          <cell r="G74">
            <v>277810</v>
          </cell>
          <cell r="H74">
            <v>266641</v>
          </cell>
          <cell r="I74">
            <v>11169</v>
          </cell>
          <cell r="J74">
            <v>4.1887781698988524</v>
          </cell>
          <cell r="L74">
            <v>68095</v>
          </cell>
          <cell r="M74">
            <v>66666</v>
          </cell>
          <cell r="N74">
            <v>1429</v>
          </cell>
          <cell r="O74">
            <v>2.1435214352143519</v>
          </cell>
          <cell r="Q74">
            <v>167384</v>
          </cell>
          <cell r="R74">
            <v>162614</v>
          </cell>
          <cell r="S74">
            <v>4770</v>
          </cell>
          <cell r="T74">
            <v>2.9333267738325111</v>
          </cell>
          <cell r="V74">
            <v>40502</v>
          </cell>
        </row>
        <row r="75">
          <cell r="A75" t="str">
            <v xml:space="preserve">  Number of Employees-Actual</v>
          </cell>
          <cell r="B75">
            <v>412</v>
          </cell>
          <cell r="C75">
            <v>419</v>
          </cell>
          <cell r="D75">
            <v>-7</v>
          </cell>
          <cell r="E75">
            <v>-1.6706443914081146</v>
          </cell>
          <cell r="G75">
            <v>638</v>
          </cell>
          <cell r="H75">
            <v>621</v>
          </cell>
          <cell r="I75">
            <v>17</v>
          </cell>
          <cell r="J75">
            <v>2.7375201288244768</v>
          </cell>
          <cell r="L75">
            <v>184</v>
          </cell>
          <cell r="M75">
            <v>177</v>
          </cell>
          <cell r="N75">
            <v>7</v>
          </cell>
          <cell r="O75">
            <v>3.9548022598870061</v>
          </cell>
          <cell r="Q75">
            <v>432</v>
          </cell>
          <cell r="R75">
            <v>432</v>
          </cell>
          <cell r="T75">
            <v>0</v>
          </cell>
          <cell r="V75">
            <v>97</v>
          </cell>
        </row>
        <row r="76">
          <cell r="A76" t="str">
            <v xml:space="preserve">  No. of Consumers per Employee</v>
          </cell>
          <cell r="B76">
            <v>466.83737864077671</v>
          </cell>
          <cell r="C76">
            <v>444.30548926014319</v>
          </cell>
          <cell r="D76">
            <v>22.531889380633515</v>
          </cell>
          <cell r="E76">
            <v>5.0712606360442631</v>
          </cell>
          <cell r="G76">
            <v>435.43887147335425</v>
          </cell>
          <cell r="H76">
            <v>429.37359098228666</v>
          </cell>
          <cell r="I76">
            <v>6.0652804910675968</v>
          </cell>
          <cell r="J76">
            <v>1.4125881559673785</v>
          </cell>
          <cell r="L76">
            <v>370.08152173913044</v>
          </cell>
          <cell r="M76">
            <v>376.64406779661016</v>
          </cell>
          <cell r="N76">
            <v>-6.5625460574797216</v>
          </cell>
          <cell r="O76">
            <v>-1.7423734019948862</v>
          </cell>
          <cell r="Q76">
            <v>387.46296296296299</v>
          </cell>
          <cell r="R76">
            <v>376.4212962962963</v>
          </cell>
          <cell r="S76">
            <v>11.041666666666686</v>
          </cell>
          <cell r="T76">
            <v>2.9333267738325164</v>
          </cell>
          <cell r="V76">
            <v>417.54639175257734</v>
          </cell>
        </row>
        <row r="77">
          <cell r="A77" t="str">
            <v xml:space="preserve">  Non-Power Cost/Consumer</v>
          </cell>
          <cell r="B77">
            <v>1116.2665005693134</v>
          </cell>
          <cell r="C77">
            <v>1200.1271260286628</v>
          </cell>
          <cell r="D77">
            <v>-83.860625459349421</v>
          </cell>
          <cell r="E77">
            <v>-6.9876451952929655</v>
          </cell>
          <cell r="G77">
            <v>1736.5002112594941</v>
          </cell>
          <cell r="H77">
            <v>1595.4722328899159</v>
          </cell>
          <cell r="I77">
            <v>141.02797836957825</v>
          </cell>
          <cell r="J77">
            <v>8.8392624742914503</v>
          </cell>
          <cell r="L77">
            <v>1214.9416209707026</v>
          </cell>
          <cell r="M77">
            <v>1174.4826274262743</v>
          </cell>
          <cell r="N77">
            <v>40.458993544428267</v>
          </cell>
          <cell r="O77">
            <v>3.4448354194126209</v>
          </cell>
          <cell r="Q77">
            <v>1203.9742633107105</v>
          </cell>
          <cell r="R77">
            <v>1205.0948227704871</v>
          </cell>
          <cell r="S77">
            <v>-1.1205594597765867</v>
          </cell>
          <cell r="T77">
            <v>-9.2985169183653502E-2</v>
          </cell>
          <cell r="V77">
            <v>1360.7082605797245</v>
          </cell>
        </row>
        <row r="78">
          <cell r="A78" t="str">
            <v xml:space="preserve">  Peak Load</v>
          </cell>
          <cell r="B78">
            <v>88847.53</v>
          </cell>
          <cell r="C78">
            <v>85961.68</v>
          </cell>
          <cell r="D78">
            <v>2885.8500000000058</v>
          </cell>
          <cell r="E78">
            <v>3.3571354119649661</v>
          </cell>
          <cell r="G78">
            <v>207715.55533333335</v>
          </cell>
          <cell r="H78">
            <v>203588.38</v>
          </cell>
          <cell r="I78">
            <v>4127.1753333333472</v>
          </cell>
          <cell r="J78">
            <v>2.027215567673041</v>
          </cell>
          <cell r="L78">
            <v>22394</v>
          </cell>
          <cell r="M78">
            <v>21899</v>
          </cell>
          <cell r="N78">
            <v>495</v>
          </cell>
          <cell r="O78">
            <v>2.2603771861728847</v>
          </cell>
          <cell r="Q78">
            <v>41865.656000000003</v>
          </cell>
          <cell r="R78">
            <v>41019.94</v>
          </cell>
          <cell r="S78">
            <v>845.71600000000035</v>
          </cell>
          <cell r="T78">
            <v>2.0617192516615099</v>
          </cell>
          <cell r="V78">
            <v>9651.1553471596035</v>
          </cell>
        </row>
      </sheetData>
      <sheetData sheetId="10">
        <row r="65">
          <cell r="A65" t="str">
            <v xml:space="preserve">  MWH Generated/Purchased</v>
          </cell>
        </row>
      </sheetData>
      <sheetData sheetId="11"/>
      <sheetData sheetId="12"/>
      <sheetData sheetId="13"/>
      <sheetData sheetId="14">
        <row r="61">
          <cell r="A61" t="str">
            <v xml:space="preserve">  MWH Generated/Purchased</v>
          </cell>
        </row>
      </sheetData>
      <sheetData sheetId="15"/>
      <sheetData sheetId="16">
        <row r="63">
          <cell r="A63" t="str">
            <v xml:space="preserve">  MWH Generated/Purchased</v>
          </cell>
        </row>
      </sheetData>
      <sheetData sheetId="17"/>
      <sheetData sheetId="18"/>
      <sheetData sheetId="19">
        <row r="66">
          <cell r="A66" t="str">
            <v xml:space="preserve">  MWH Generated/Purchased</v>
          </cell>
        </row>
      </sheetData>
      <sheetData sheetId="20">
        <row r="67">
          <cell r="A67" t="str">
            <v xml:space="preserve">  MWH Generated/Purchased</v>
          </cell>
        </row>
      </sheetData>
      <sheetData sheetId="21"/>
      <sheetData sheetId="22">
        <row r="65">
          <cell r="A65" t="str">
            <v xml:space="preserve">  MWH Generated/Purchased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"/>
    </sheetNames>
    <sheetDataSet>
      <sheetData sheetId="0" refreshError="1">
        <row r="13">
          <cell r="I13">
            <v>0</v>
          </cell>
        </row>
        <row r="54">
          <cell r="I5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I"/>
      <sheetName val="REG IIok"/>
      <sheetName val="CAR"/>
      <sheetName val="REG IIIok"/>
      <sheetName val="REG IV-A"/>
      <sheetName val="REG IV-B"/>
      <sheetName val="REG V"/>
      <sheetName val="REG VIok"/>
      <sheetName val="NIR"/>
      <sheetName val="REG VII"/>
      <sheetName val="REG VIII"/>
      <sheetName val="REG IXok"/>
      <sheetName val="REG X"/>
      <sheetName val="REG XI"/>
      <sheetName val="REG XII"/>
      <sheetName val="ARMM"/>
      <sheetName val="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7">
          <cell r="Z97" t="str">
            <v>39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153"/>
  <sheetViews>
    <sheetView tabSelected="1" zoomScale="70" zoomScaleNormal="70" workbookViewId="0">
      <pane xSplit="1" ySplit="9" topLeftCell="B56" activePane="bottomRight" state="frozen"/>
      <selection activeCell="C83" sqref="C83"/>
      <selection pane="topRight" activeCell="C83" sqref="C83"/>
      <selection pane="bottomLeft" activeCell="C83" sqref="C83"/>
      <selection pane="bottomRight" activeCell="A82" sqref="A82"/>
    </sheetView>
  </sheetViews>
  <sheetFormatPr defaultColWidth="12.5546875" defaultRowHeight="15" x14ac:dyDescent="0.25"/>
  <cols>
    <col min="1" max="1" width="48.6640625" style="2" customWidth="1"/>
    <col min="2" max="3" width="16.33203125" style="2" customWidth="1"/>
    <col min="4" max="4" width="15.109375" style="2" customWidth="1"/>
    <col min="5" max="5" width="12.44140625" style="2" bestFit="1" customWidth="1"/>
    <col min="6" max="6" width="1.109375" style="2" customWidth="1"/>
    <col min="7" max="8" width="16.33203125" style="2" customWidth="1"/>
    <col min="9" max="9" width="15" style="2" bestFit="1" customWidth="1"/>
    <col min="10" max="10" width="9.6640625" style="2" bestFit="1" customWidth="1"/>
    <col min="11" max="11" width="1.6640625" style="2" customWidth="1"/>
    <col min="12" max="13" width="14.33203125" style="2" customWidth="1"/>
    <col min="14" max="14" width="14.33203125" style="2" bestFit="1" customWidth="1"/>
    <col min="15" max="15" width="12.44140625" style="2" bestFit="1" customWidth="1"/>
    <col min="16" max="16" width="1.44140625" style="2" customWidth="1"/>
    <col min="17" max="18" width="16.33203125" style="2" customWidth="1"/>
    <col min="19" max="19" width="16.44140625" style="2" customWidth="1"/>
    <col min="20" max="20" width="13.88671875" style="2" bestFit="1" customWidth="1"/>
    <col min="21" max="21" width="1.44140625" style="2" customWidth="1"/>
    <col min="22" max="23" width="14.33203125" style="2" customWidth="1"/>
    <col min="24" max="24" width="13.6640625" style="2" customWidth="1"/>
    <col min="25" max="25" width="11.44140625" style="2" customWidth="1"/>
    <col min="26" max="26" width="1.5546875" style="2" customWidth="1"/>
    <col min="27" max="28" width="17.5546875" style="2" customWidth="1"/>
    <col min="29" max="29" width="15" style="2" bestFit="1" customWidth="1"/>
    <col min="30" max="30" width="11.5546875" style="2" bestFit="1" customWidth="1"/>
    <col min="31" max="32" width="12.5546875" style="2"/>
    <col min="33" max="33" width="6.109375" style="2" customWidth="1"/>
    <col min="34" max="37" width="12.5546875" style="2"/>
    <col min="38" max="38" width="6.109375" style="2" customWidth="1"/>
    <col min="39" max="41" width="12.5546875" style="2"/>
    <col min="42" max="42" width="6.109375" style="2" customWidth="1"/>
    <col min="43" max="46" width="12.5546875" style="2"/>
    <col min="47" max="47" width="6.109375" style="2" customWidth="1"/>
    <col min="48" max="51" width="12.5546875" style="2"/>
    <col min="52" max="52" width="6.109375" style="2" customWidth="1"/>
    <col min="53" max="16384" width="12.5546875" style="2"/>
  </cols>
  <sheetData>
    <row r="1" spans="1:41" ht="15.6" x14ac:dyDescent="0.3">
      <c r="A1" s="1" t="s">
        <v>0</v>
      </c>
    </row>
    <row r="2" spans="1:41" ht="15.6" x14ac:dyDescent="0.3">
      <c r="A2" s="1" t="str">
        <f>[4]REG3!A2</f>
        <v>Financial Profile as of June 30, 2023</v>
      </c>
    </row>
    <row r="3" spans="1:41" ht="15.75" hidden="1" customHeight="1" x14ac:dyDescent="0.3">
      <c r="A3" s="1" t="s">
        <v>1</v>
      </c>
    </row>
    <row r="4" spans="1:41" ht="15.6" x14ac:dyDescent="0.3">
      <c r="A4" s="1" t="str">
        <f>[4]REG3!A3</f>
        <v>With Comparative Figures as of June 30, 2022</v>
      </c>
    </row>
    <row r="5" spans="1:41" ht="15.6" x14ac:dyDescent="0.3">
      <c r="A5" s="3" t="s">
        <v>2</v>
      </c>
    </row>
    <row r="6" spans="1:41" ht="15.6" x14ac:dyDescent="0.3">
      <c r="B6" s="25"/>
      <c r="C6" s="25"/>
      <c r="D6" s="25"/>
      <c r="E6" s="25"/>
      <c r="F6" s="4"/>
      <c r="G6" s="25"/>
      <c r="H6" s="25"/>
      <c r="I6" s="25"/>
      <c r="J6" s="25"/>
      <c r="K6" s="4"/>
      <c r="L6" s="25"/>
      <c r="M6" s="25"/>
      <c r="N6" s="25"/>
      <c r="O6" s="25"/>
      <c r="P6" s="4"/>
      <c r="Q6" s="25"/>
      <c r="R6" s="25"/>
      <c r="S6" s="25"/>
      <c r="T6" s="25"/>
      <c r="U6" s="5"/>
      <c r="V6" s="25"/>
      <c r="W6" s="25"/>
      <c r="X6" s="25"/>
      <c r="Y6" s="25"/>
      <c r="Z6" s="4"/>
      <c r="AA6" s="25"/>
      <c r="AB6" s="25"/>
      <c r="AC6" s="25"/>
      <c r="AD6" s="25"/>
      <c r="AE6" s="4"/>
      <c r="AF6" s="6"/>
      <c r="AH6" s="4"/>
      <c r="AI6" s="4"/>
      <c r="AJ6" s="4"/>
      <c r="AK6" s="4"/>
      <c r="AL6" s="5"/>
      <c r="AM6" s="4"/>
      <c r="AN6" s="4"/>
      <c r="AO6" s="4"/>
    </row>
    <row r="7" spans="1:41" ht="15.6" x14ac:dyDescent="0.3">
      <c r="B7" s="25" t="s">
        <v>3</v>
      </c>
      <c r="C7" s="25"/>
      <c r="D7" s="25"/>
      <c r="E7" s="25"/>
      <c r="F7" s="4"/>
      <c r="G7" s="25" t="s">
        <v>4</v>
      </c>
      <c r="H7" s="25"/>
      <c r="I7" s="25"/>
      <c r="J7" s="25"/>
      <c r="K7" s="4"/>
      <c r="L7" s="25" t="s">
        <v>5</v>
      </c>
      <c r="M7" s="25"/>
      <c r="N7" s="25"/>
      <c r="O7" s="25"/>
      <c r="P7" s="4"/>
      <c r="Q7" s="25" t="s">
        <v>6</v>
      </c>
      <c r="R7" s="25"/>
      <c r="S7" s="25"/>
      <c r="T7" s="25"/>
      <c r="U7" s="5"/>
      <c r="V7" s="25" t="s">
        <v>7</v>
      </c>
      <c r="W7" s="25"/>
      <c r="X7" s="25"/>
      <c r="Y7" s="25"/>
      <c r="Z7" s="5"/>
      <c r="AA7" s="4" t="s">
        <v>8</v>
      </c>
      <c r="AB7" s="4"/>
      <c r="AC7" s="4"/>
      <c r="AD7" s="6"/>
      <c r="AE7" s="4"/>
      <c r="AF7" s="6"/>
      <c r="AH7" s="4"/>
      <c r="AI7" s="4"/>
      <c r="AJ7" s="4"/>
      <c r="AK7" s="4"/>
      <c r="AL7" s="5"/>
      <c r="AM7" s="4"/>
      <c r="AN7" s="4"/>
      <c r="AO7" s="4"/>
    </row>
    <row r="8" spans="1:41" x14ac:dyDescent="0.25">
      <c r="B8" s="7">
        <v>2023</v>
      </c>
      <c r="C8" s="7">
        <v>2022</v>
      </c>
      <c r="D8" s="23" t="s">
        <v>9</v>
      </c>
      <c r="E8" s="23"/>
      <c r="G8" s="7">
        <v>2023</v>
      </c>
      <c r="H8" s="7">
        <v>2022</v>
      </c>
      <c r="I8" s="23" t="s">
        <v>9</v>
      </c>
      <c r="J8" s="23"/>
      <c r="L8" s="7">
        <v>2023</v>
      </c>
      <c r="M8" s="7">
        <v>2022</v>
      </c>
      <c r="N8" s="23" t="s">
        <v>9</v>
      </c>
      <c r="O8" s="23"/>
      <c r="Q8" s="7">
        <v>2023</v>
      </c>
      <c r="R8" s="7">
        <v>2022</v>
      </c>
      <c r="S8" s="23" t="s">
        <v>9</v>
      </c>
      <c r="T8" s="23"/>
      <c r="V8" s="7">
        <v>2023</v>
      </c>
      <c r="W8" s="7">
        <v>2022</v>
      </c>
      <c r="X8" s="23" t="s">
        <v>9</v>
      </c>
      <c r="Y8" s="23"/>
      <c r="AA8" s="7">
        <v>2023</v>
      </c>
      <c r="AB8" s="7">
        <v>2022</v>
      </c>
      <c r="AC8" s="23" t="s">
        <v>9</v>
      </c>
      <c r="AD8" s="23"/>
    </row>
    <row r="9" spans="1:41" x14ac:dyDescent="0.25">
      <c r="B9" s="7" t="s">
        <v>10</v>
      </c>
      <c r="C9" s="7" t="s">
        <v>10</v>
      </c>
      <c r="D9" s="7" t="s">
        <v>11</v>
      </c>
      <c r="E9" s="7" t="s">
        <v>12</v>
      </c>
      <c r="G9" s="7" t="s">
        <v>10</v>
      </c>
      <c r="H9" s="7" t="s">
        <v>10</v>
      </c>
      <c r="I9" s="7" t="s">
        <v>11</v>
      </c>
      <c r="J9" s="7" t="s">
        <v>12</v>
      </c>
      <c r="L9" s="7" t="s">
        <v>10</v>
      </c>
      <c r="M9" s="7" t="s">
        <v>10</v>
      </c>
      <c r="N9" s="7" t="s">
        <v>11</v>
      </c>
      <c r="O9" s="7" t="s">
        <v>12</v>
      </c>
      <c r="Q9" s="7" t="s">
        <v>10</v>
      </c>
      <c r="R9" s="7" t="s">
        <v>10</v>
      </c>
      <c r="S9" s="7" t="s">
        <v>11</v>
      </c>
      <c r="T9" s="7" t="s">
        <v>12</v>
      </c>
      <c r="V9" s="7" t="s">
        <v>10</v>
      </c>
      <c r="W9" s="7" t="s">
        <v>10</v>
      </c>
      <c r="X9" s="7" t="s">
        <v>11</v>
      </c>
      <c r="Y9" s="7" t="s">
        <v>12</v>
      </c>
      <c r="AA9" s="7" t="s">
        <v>10</v>
      </c>
      <c r="AB9" s="7" t="s">
        <v>10</v>
      </c>
      <c r="AC9" s="7" t="s">
        <v>11</v>
      </c>
      <c r="AD9" s="7" t="s">
        <v>12</v>
      </c>
    </row>
    <row r="10" spans="1:41" ht="10.5" customHeight="1" x14ac:dyDescent="0.25"/>
    <row r="11" spans="1:41" ht="15.6" x14ac:dyDescent="0.3">
      <c r="A11" s="1" t="s">
        <v>13</v>
      </c>
    </row>
    <row r="12" spans="1:41" ht="12.75" customHeight="1" x14ac:dyDescent="0.25"/>
    <row r="13" spans="1:41" s="13" customFormat="1" ht="15" customHeight="1" x14ac:dyDescent="0.25">
      <c r="A13" s="8" t="s">
        <v>14</v>
      </c>
      <c r="B13" s="9">
        <v>2926114.86711</v>
      </c>
      <c r="C13" s="9">
        <v>3065601.0716900001</v>
      </c>
      <c r="D13" s="9">
        <f t="shared" ref="D13:D23" si="0">B13-C13</f>
        <v>-139486.20458000014</v>
      </c>
      <c r="E13" s="9">
        <f t="shared" ref="E13:E23" si="1">D13/C13*100</f>
        <v>-4.5500442268277386</v>
      </c>
      <c r="F13" s="9"/>
      <c r="G13" s="9">
        <v>6364542.0098299999</v>
      </c>
      <c r="H13" s="9">
        <v>5767628.9291000003</v>
      </c>
      <c r="I13" s="9">
        <f t="shared" ref="I13:I23" si="2">G13-H13</f>
        <v>596913.08072999958</v>
      </c>
      <c r="J13" s="9">
        <f t="shared" ref="J13:J23" si="3">I13/H13*100</f>
        <v>10.349366924739797</v>
      </c>
      <c r="K13" s="9"/>
      <c r="L13" s="9">
        <v>909407.42561000003</v>
      </c>
      <c r="M13" s="9">
        <v>828336.94183000003</v>
      </c>
      <c r="N13" s="9">
        <f t="shared" ref="N13:N23" si="4">L13-M13</f>
        <v>81070.48378000001</v>
      </c>
      <c r="O13" s="9">
        <f t="shared" ref="O13:O23" si="5">N13/M13*100</f>
        <v>9.7871385043983885</v>
      </c>
      <c r="P13" s="9"/>
      <c r="Q13" s="9">
        <v>1416865.567</v>
      </c>
      <c r="R13" s="9">
        <v>1537356.88854</v>
      </c>
      <c r="S13" s="9">
        <f t="shared" ref="S13:S23" si="6">Q13-R13</f>
        <v>-120491.32153999992</v>
      </c>
      <c r="T13" s="9">
        <f t="shared" ref="T13:T23" si="7">S13/R13*100</f>
        <v>-7.8375634466001154</v>
      </c>
      <c r="U13" s="9"/>
      <c r="V13" s="9">
        <v>356265.06001999998</v>
      </c>
      <c r="W13" s="9">
        <v>368612.90044</v>
      </c>
      <c r="X13" s="9">
        <f t="shared" ref="X13:X23" si="8">V13-W13</f>
        <v>-12347.840420000022</v>
      </c>
      <c r="Y13" s="9">
        <f t="shared" ref="Y13:Y23" si="9">X13/W13*100</f>
        <v>-3.3498123384343979</v>
      </c>
      <c r="Z13" s="9"/>
      <c r="AA13" s="9">
        <f t="shared" ref="AA13:AB17" si="10">B13+G13+L13+Q13+V13</f>
        <v>11973194.929570001</v>
      </c>
      <c r="AB13" s="9">
        <f t="shared" si="10"/>
        <v>11567536.7316</v>
      </c>
      <c r="AC13" s="11">
        <f t="shared" ref="AC13:AC23" si="11">AA13-AB13</f>
        <v>405658.19797000103</v>
      </c>
      <c r="AD13" s="11">
        <f t="shared" ref="AD13:AD23" si="12">AC13/AB13*100</f>
        <v>3.5068676018277158</v>
      </c>
    </row>
    <row r="14" spans="1:41" s="13" customFormat="1" ht="15" customHeight="1" x14ac:dyDescent="0.25">
      <c r="A14" s="8" t="s">
        <v>15</v>
      </c>
      <c r="B14" s="11">
        <v>52627.265000000007</v>
      </c>
      <c r="C14" s="11">
        <v>53248.214449999999</v>
      </c>
      <c r="D14" s="9">
        <f>B14-C14</f>
        <v>-620.94944999999279</v>
      </c>
      <c r="E14" s="9">
        <f>D14/C14*100</f>
        <v>-1.1661413559379787</v>
      </c>
      <c r="F14" s="9"/>
      <c r="G14" s="11">
        <v>182339.28987000001</v>
      </c>
      <c r="H14" s="11">
        <v>180176.95666</v>
      </c>
      <c r="I14" s="9">
        <f>G14-H14</f>
        <v>2162.3332100000116</v>
      </c>
      <c r="J14" s="9">
        <f>I14/H14*100</f>
        <v>1.2001164022769057</v>
      </c>
      <c r="K14" s="9"/>
      <c r="L14" s="9">
        <v>34508.571309999999</v>
      </c>
      <c r="M14" s="9">
        <v>33876.392829999997</v>
      </c>
      <c r="N14" s="9">
        <f t="shared" si="4"/>
        <v>632.17848000000231</v>
      </c>
      <c r="O14" s="9">
        <f>N14/M14*100</f>
        <v>1.8661328057341529</v>
      </c>
      <c r="P14" s="9"/>
      <c r="Q14" s="9">
        <v>30654.959389999996</v>
      </c>
      <c r="R14" s="9">
        <v>31284.183779999999</v>
      </c>
      <c r="S14" s="9">
        <f>Q14-R14</f>
        <v>-629.22439000000304</v>
      </c>
      <c r="T14" s="9">
        <f t="shared" si="7"/>
        <v>-2.0113179056385246</v>
      </c>
      <c r="U14" s="9"/>
      <c r="V14" s="9">
        <v>13979.89682</v>
      </c>
      <c r="W14" s="9">
        <v>13857.712529999997</v>
      </c>
      <c r="X14" s="9">
        <f>V14-W14</f>
        <v>122.18429000000287</v>
      </c>
      <c r="Y14" s="9">
        <f>X14/W14*100</f>
        <v>0.88170605166971883</v>
      </c>
      <c r="Z14" s="9"/>
      <c r="AA14" s="9">
        <f>B14+G14+L14+Q14+V14</f>
        <v>314109.98239000002</v>
      </c>
      <c r="AB14" s="9">
        <f>C14+H14+M14+R14+W14</f>
        <v>312443.46025000006</v>
      </c>
      <c r="AC14" s="11">
        <f>AA14-AB14</f>
        <v>1666.5221399999573</v>
      </c>
      <c r="AD14" s="11">
        <f>AC14/AB14*100</f>
        <v>0.53338358839916122</v>
      </c>
    </row>
    <row r="15" spans="1:41" s="13" customFormat="1" ht="15" customHeight="1" x14ac:dyDescent="0.25">
      <c r="A15" s="8" t="s">
        <v>16</v>
      </c>
      <c r="B15" s="11">
        <v>57736.277320000008</v>
      </c>
      <c r="C15" s="11">
        <f>92884.63047+21575.88</f>
        <v>114460.51047000001</v>
      </c>
      <c r="D15" s="9">
        <f t="shared" si="0"/>
        <v>-56724.23315</v>
      </c>
      <c r="E15" s="9">
        <f t="shared" si="1"/>
        <v>-49.557906842349233</v>
      </c>
      <c r="F15" s="9"/>
      <c r="G15" s="11">
        <v>135381.93755</v>
      </c>
      <c r="H15" s="11">
        <f>111434.06603+45337.01</f>
        <v>156771.07603</v>
      </c>
      <c r="I15" s="9">
        <f t="shared" si="2"/>
        <v>-21389.138479999994</v>
      </c>
      <c r="J15" s="9">
        <f t="shared" si="3"/>
        <v>-13.643548938776773</v>
      </c>
      <c r="K15" s="9"/>
      <c r="L15" s="9">
        <v>15015.141610000001</v>
      </c>
      <c r="M15" s="9">
        <f>12667.83586+6204.66</f>
        <v>18872.495859999999</v>
      </c>
      <c r="N15" s="9">
        <f t="shared" si="4"/>
        <v>-3857.3542499999985</v>
      </c>
      <c r="O15" s="9">
        <f t="shared" si="5"/>
        <v>-20.439025546036067</v>
      </c>
      <c r="P15" s="9"/>
      <c r="Q15" s="9">
        <v>92912.915049999996</v>
      </c>
      <c r="R15" s="9">
        <f>87289.23043+10418.42</f>
        <v>97707.650429999994</v>
      </c>
      <c r="S15" s="9">
        <f t="shared" si="6"/>
        <v>-4794.7353799999983</v>
      </c>
      <c r="T15" s="9">
        <f t="shared" si="7"/>
        <v>-4.9072261577255478</v>
      </c>
      <c r="U15" s="9"/>
      <c r="V15" s="9">
        <v>6262.9077899999993</v>
      </c>
      <c r="W15" s="9">
        <f>5177.13475+1885.14</f>
        <v>7062.2747500000005</v>
      </c>
      <c r="X15" s="9">
        <f t="shared" si="8"/>
        <v>-799.3669600000012</v>
      </c>
      <c r="Y15" s="9">
        <f t="shared" si="9"/>
        <v>-11.318831230688117</v>
      </c>
      <c r="Z15" s="9"/>
      <c r="AA15" s="9">
        <f t="shared" si="10"/>
        <v>307309.17932000005</v>
      </c>
      <c r="AB15" s="9">
        <f t="shared" si="10"/>
        <v>394874.00753999996</v>
      </c>
      <c r="AC15" s="11">
        <f t="shared" si="11"/>
        <v>-87564.828219999908</v>
      </c>
      <c r="AD15" s="11">
        <f t="shared" si="12"/>
        <v>-22.175384185328976</v>
      </c>
    </row>
    <row r="16" spans="1:41" s="13" customFormat="1" ht="15" hidden="1" customHeight="1" x14ac:dyDescent="0.25">
      <c r="A16" s="8"/>
      <c r="B16" s="11"/>
      <c r="C16" s="11"/>
      <c r="D16" s="9"/>
      <c r="E16" s="9"/>
      <c r="F16" s="9"/>
      <c r="G16" s="11"/>
      <c r="H16" s="1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1"/>
      <c r="AD16" s="11"/>
    </row>
    <row r="17" spans="1:30" s="13" customFormat="1" ht="15" customHeight="1" x14ac:dyDescent="0.25">
      <c r="A17" s="8" t="s">
        <v>17</v>
      </c>
      <c r="B17" s="9">
        <v>295722.25273999997</v>
      </c>
      <c r="C17" s="9">
        <v>282408.88699999999</v>
      </c>
      <c r="D17" s="9">
        <f t="shared" si="0"/>
        <v>13313.365739999979</v>
      </c>
      <c r="E17" s="9">
        <f t="shared" si="1"/>
        <v>4.7142162845604716</v>
      </c>
      <c r="F17" s="9"/>
      <c r="G17" s="9">
        <v>609425.34363000002</v>
      </c>
      <c r="H17" s="9">
        <v>548330.71112999995</v>
      </c>
      <c r="I17" s="9">
        <f t="shared" si="2"/>
        <v>61094.632500000065</v>
      </c>
      <c r="J17" s="9">
        <f t="shared" si="3"/>
        <v>11.141931549683994</v>
      </c>
      <c r="K17" s="9"/>
      <c r="L17" s="9">
        <v>93475.97683</v>
      </c>
      <c r="M17" s="9">
        <v>82337.251439999993</v>
      </c>
      <c r="N17" s="9">
        <f t="shared" si="4"/>
        <v>11138.725390000007</v>
      </c>
      <c r="O17" s="9">
        <f t="shared" si="5"/>
        <v>13.528172479885258</v>
      </c>
      <c r="P17" s="9"/>
      <c r="Q17" s="9">
        <v>140587.54795000001</v>
      </c>
      <c r="R17" s="9">
        <v>143330.71281999999</v>
      </c>
      <c r="S17" s="9">
        <f>Q17-R17</f>
        <v>-2743.1648699999787</v>
      </c>
      <c r="T17" s="9">
        <f t="shared" si="7"/>
        <v>-1.9138709464488233</v>
      </c>
      <c r="U17" s="9"/>
      <c r="V17" s="9">
        <v>36720.800869999999</v>
      </c>
      <c r="W17" s="9">
        <v>36523.849860000002</v>
      </c>
      <c r="X17" s="9">
        <f t="shared" si="8"/>
        <v>196.95100999999704</v>
      </c>
      <c r="Y17" s="9">
        <f t="shared" si="9"/>
        <v>0.53923945792935923</v>
      </c>
      <c r="Z17" s="9"/>
      <c r="AA17" s="9">
        <f t="shared" si="10"/>
        <v>1175931.9220199999</v>
      </c>
      <c r="AB17" s="9">
        <f t="shared" si="10"/>
        <v>1092931.4122499998</v>
      </c>
      <c r="AC17" s="11">
        <f>AA17-AB17</f>
        <v>83000.509770000121</v>
      </c>
      <c r="AD17" s="11">
        <f t="shared" si="12"/>
        <v>7.5943017868914886</v>
      </c>
    </row>
    <row r="18" spans="1:30" s="13" customFormat="1" ht="15" customHeight="1" x14ac:dyDescent="0.25">
      <c r="A18" s="8" t="s">
        <v>18</v>
      </c>
      <c r="B18" s="9">
        <v>3288.8667</v>
      </c>
      <c r="C18" s="9">
        <v>3334.7288799999997</v>
      </c>
      <c r="D18" s="9">
        <f t="shared" si="0"/>
        <v>-45.862179999999626</v>
      </c>
      <c r="E18" s="9">
        <f t="shared" si="1"/>
        <v>-1.3752896157483012</v>
      </c>
      <c r="F18" s="9"/>
      <c r="G18" s="9">
        <v>0</v>
      </c>
      <c r="H18" s="9">
        <v>0</v>
      </c>
      <c r="I18" s="9">
        <f t="shared" si="2"/>
        <v>0</v>
      </c>
      <c r="J18" s="9">
        <f>IFERROR(I18/H18*100,0)</f>
        <v>0</v>
      </c>
      <c r="K18" s="9"/>
      <c r="L18" s="9">
        <v>1248.9663500000001</v>
      </c>
      <c r="M18" s="9">
        <v>1183.7493699999998</v>
      </c>
      <c r="N18" s="9">
        <f t="shared" si="4"/>
        <v>65.216980000000376</v>
      </c>
      <c r="O18" s="9">
        <f t="shared" si="5"/>
        <v>5.5093571031848061</v>
      </c>
      <c r="P18" s="9"/>
      <c r="Q18" s="9">
        <v>0</v>
      </c>
      <c r="R18" s="9">
        <v>0</v>
      </c>
      <c r="S18" s="9">
        <f>Q18-R18</f>
        <v>0</v>
      </c>
      <c r="T18" s="9">
        <f>IFERROR(S18/R18*100,0)</f>
        <v>0</v>
      </c>
      <c r="U18" s="9"/>
      <c r="V18" s="9">
        <v>0</v>
      </c>
      <c r="W18" s="9">
        <v>0</v>
      </c>
      <c r="X18" s="9">
        <f t="shared" si="8"/>
        <v>0</v>
      </c>
      <c r="Y18" s="9">
        <f t="shared" ref="Y18:Y19" si="13">IFERROR(X18/W18*100,0)</f>
        <v>0</v>
      </c>
      <c r="Z18" s="9"/>
      <c r="AA18" s="9">
        <f>B18+G18+L18+Q18+V18</f>
        <v>4537.8330500000002</v>
      </c>
      <c r="AB18" s="9">
        <f>C18+H18+M18+R18+W18</f>
        <v>4518.4782499999992</v>
      </c>
      <c r="AC18" s="11">
        <f>AA18-AB18</f>
        <v>19.354800000000978</v>
      </c>
      <c r="AD18" s="11">
        <f t="shared" si="12"/>
        <v>0.4283477518122607</v>
      </c>
    </row>
    <row r="19" spans="1:30" s="13" customFormat="1" ht="15" customHeight="1" x14ac:dyDescent="0.25">
      <c r="A19" s="8" t="s">
        <v>19</v>
      </c>
      <c r="B19" s="9">
        <v>14355.70521</v>
      </c>
      <c r="C19" s="9">
        <v>-85363.341339999999</v>
      </c>
      <c r="D19" s="9">
        <f t="shared" si="0"/>
        <v>99719.046549999999</v>
      </c>
      <c r="E19" s="9">
        <f t="shared" si="1"/>
        <v>-116.817178175842</v>
      </c>
      <c r="F19" s="9"/>
      <c r="G19" s="9">
        <v>4298.8696</v>
      </c>
      <c r="H19" s="9">
        <v>60091.837339999998</v>
      </c>
      <c r="I19" s="9">
        <f t="shared" si="2"/>
        <v>-55792.96774</v>
      </c>
      <c r="J19" s="9">
        <f t="shared" si="3"/>
        <v>-92.846167149662989</v>
      </c>
      <c r="K19" s="9"/>
      <c r="L19" s="9">
        <v>12.11656</v>
      </c>
      <c r="M19" s="9">
        <v>27963.243260000003</v>
      </c>
      <c r="N19" s="9">
        <f t="shared" si="4"/>
        <v>-27951.126700000004</v>
      </c>
      <c r="O19" s="9">
        <f t="shared" si="5"/>
        <v>-99.956669689966432</v>
      </c>
      <c r="P19" s="9"/>
      <c r="Q19" s="9">
        <v>0</v>
      </c>
      <c r="R19" s="9">
        <v>0</v>
      </c>
      <c r="S19" s="9">
        <f>Q19-R19</f>
        <v>0</v>
      </c>
      <c r="T19" s="9">
        <f>IFERROR(S19/R19*100,0)</f>
        <v>0</v>
      </c>
      <c r="U19" s="9"/>
      <c r="V19" s="9">
        <v>0</v>
      </c>
      <c r="W19" s="9">
        <v>0</v>
      </c>
      <c r="X19" s="9">
        <f t="shared" si="8"/>
        <v>0</v>
      </c>
      <c r="Y19" s="9">
        <f t="shared" si="13"/>
        <v>0</v>
      </c>
      <c r="Z19" s="9"/>
      <c r="AA19" s="9">
        <f>B19+G19+L19+Q19+V19</f>
        <v>18666.691369999997</v>
      </c>
      <c r="AB19" s="9">
        <f>C19+H19+M19+R19+W19</f>
        <v>2691.7392600000021</v>
      </c>
      <c r="AC19" s="11">
        <f>AA19-AB19</f>
        <v>15974.952109999995</v>
      </c>
      <c r="AD19" s="11">
        <f t="shared" si="12"/>
        <v>593.48066684586604</v>
      </c>
    </row>
    <row r="20" spans="1:30" s="13" customFormat="1" ht="15" customHeight="1" x14ac:dyDescent="0.25">
      <c r="A20" s="8" t="s">
        <v>20</v>
      </c>
      <c r="B20" s="9">
        <f>B13-B14-B15-B17-B18-B19</f>
        <v>2502384.5001400001</v>
      </c>
      <c r="C20" s="9">
        <f>C13-C14-C15-C17-C18-C19</f>
        <v>2697512.07223</v>
      </c>
      <c r="D20" s="9">
        <f t="shared" si="0"/>
        <v>-195127.57208999991</v>
      </c>
      <c r="E20" s="9">
        <f t="shared" si="1"/>
        <v>-7.2336125609510376</v>
      </c>
      <c r="F20" s="9"/>
      <c r="G20" s="9">
        <f>G13-G14-G15-G17-G18-G19</f>
        <v>5433096.5691799996</v>
      </c>
      <c r="H20" s="9">
        <f>H13-H14-H15-H17-H18-H19</f>
        <v>4822258.3479400007</v>
      </c>
      <c r="I20" s="9">
        <f t="shared" si="2"/>
        <v>610838.22123999894</v>
      </c>
      <c r="J20" s="9">
        <f>I20/H20*100</f>
        <v>12.667057158000262</v>
      </c>
      <c r="K20" s="9"/>
      <c r="L20" s="9">
        <f>L13-L14-L15-L17-L18-L19</f>
        <v>765146.6529499999</v>
      </c>
      <c r="M20" s="9">
        <f>M13-M14-M15-M17-M18-M19</f>
        <v>664103.80906999996</v>
      </c>
      <c r="N20" s="9">
        <f t="shared" si="4"/>
        <v>101042.84387999994</v>
      </c>
      <c r="O20" s="9">
        <f t="shared" si="5"/>
        <v>15.214917080734514</v>
      </c>
      <c r="P20" s="9"/>
      <c r="Q20" s="9">
        <f>Q13-Q14-Q15-Q17-Q18-Q19</f>
        <v>1152710.1446100001</v>
      </c>
      <c r="R20" s="9">
        <f>R13-R14-R15-R17-R18-R19</f>
        <v>1265034.3415099999</v>
      </c>
      <c r="S20" s="9">
        <f t="shared" si="6"/>
        <v>-112324.19689999986</v>
      </c>
      <c r="T20" s="9">
        <f t="shared" si="7"/>
        <v>-8.8791421081837854</v>
      </c>
      <c r="U20" s="9"/>
      <c r="V20" s="9">
        <f>V13-V14-V15-V17-V18-V19</f>
        <v>299301.45453999995</v>
      </c>
      <c r="W20" s="9">
        <f>W13-W14-W15-W17-W18-W19</f>
        <v>311169.06329999998</v>
      </c>
      <c r="X20" s="9">
        <f t="shared" si="8"/>
        <v>-11867.608760000032</v>
      </c>
      <c r="Y20" s="9">
        <f t="shared" si="9"/>
        <v>-3.8138781002655135</v>
      </c>
      <c r="Z20" s="9"/>
      <c r="AA20" s="11">
        <f>AA13-AA14-AA15-AA17-AA18-AA19</f>
        <v>10152639.321420003</v>
      </c>
      <c r="AB20" s="11">
        <f>AB13-AB14-AB15-AB17-AB18-AB19</f>
        <v>9760077.6340500005</v>
      </c>
      <c r="AC20" s="11">
        <f t="shared" si="11"/>
        <v>392561.68737000227</v>
      </c>
      <c r="AD20" s="11">
        <f t="shared" si="12"/>
        <v>4.0221164430134415</v>
      </c>
    </row>
    <row r="21" spans="1:30" s="13" customFormat="1" ht="15" customHeight="1" x14ac:dyDescent="0.25">
      <c r="A21" s="8" t="s">
        <v>21</v>
      </c>
      <c r="B21" s="11">
        <v>17977.52533</v>
      </c>
      <c r="C21" s="11">
        <v>18902.905429999999</v>
      </c>
      <c r="D21" s="9">
        <f t="shared" si="0"/>
        <v>-925.38009999999849</v>
      </c>
      <c r="E21" s="9">
        <f t="shared" si="1"/>
        <v>-4.895438446892757</v>
      </c>
      <c r="F21" s="9"/>
      <c r="G21" s="11">
        <v>47272.726020000002</v>
      </c>
      <c r="H21" s="11">
        <v>76589.766060000009</v>
      </c>
      <c r="I21" s="9">
        <f t="shared" si="2"/>
        <v>-29317.040040000007</v>
      </c>
      <c r="J21" s="9">
        <f t="shared" si="3"/>
        <v>-38.278012256928946</v>
      </c>
      <c r="K21" s="9"/>
      <c r="L21" s="9">
        <v>45424.106140000004</v>
      </c>
      <c r="M21" s="9">
        <v>44204.134760000001</v>
      </c>
      <c r="N21" s="9">
        <f t="shared" si="4"/>
        <v>1219.9713800000027</v>
      </c>
      <c r="O21" s="9">
        <f t="shared" si="5"/>
        <v>2.7598580689875778</v>
      </c>
      <c r="P21" s="9"/>
      <c r="Q21" s="9">
        <v>55129.315369999997</v>
      </c>
      <c r="R21" s="9">
        <v>104576.02412999999</v>
      </c>
      <c r="S21" s="9">
        <f t="shared" si="6"/>
        <v>-49446.708759999994</v>
      </c>
      <c r="T21" s="9">
        <f t="shared" si="7"/>
        <v>-47.283026077308179</v>
      </c>
      <c r="U21" s="9"/>
      <c r="V21" s="9">
        <v>24336.01857</v>
      </c>
      <c r="W21" s="9">
        <v>16448.150130000002</v>
      </c>
      <c r="X21" s="9">
        <f t="shared" si="8"/>
        <v>7887.8684399999984</v>
      </c>
      <c r="Y21" s="9">
        <f t="shared" si="9"/>
        <v>47.955960868895581</v>
      </c>
      <c r="Z21" s="9"/>
      <c r="AA21" s="9">
        <f>B21+G21+L21+Q21+V21</f>
        <v>190139.69143000001</v>
      </c>
      <c r="AB21" s="9">
        <f>C21+H21+M21+R21+W21</f>
        <v>260720.98050999999</v>
      </c>
      <c r="AC21" s="11">
        <f t="shared" si="11"/>
        <v>-70581.289079999988</v>
      </c>
      <c r="AD21" s="11">
        <f t="shared" si="12"/>
        <v>-27.07158010143063</v>
      </c>
    </row>
    <row r="22" spans="1:30" s="13" customFormat="1" ht="15" customHeight="1" x14ac:dyDescent="0.25">
      <c r="A22" s="8" t="s">
        <v>22</v>
      </c>
      <c r="B22" s="9">
        <f>B20+B21</f>
        <v>2520362.0254700002</v>
      </c>
      <c r="C22" s="9">
        <f>C20+C21</f>
        <v>2716414.9776599999</v>
      </c>
      <c r="D22" s="9">
        <f t="shared" si="0"/>
        <v>-196052.95218999963</v>
      </c>
      <c r="E22" s="9">
        <f t="shared" si="1"/>
        <v>-7.2173417464692911</v>
      </c>
      <c r="F22" s="9"/>
      <c r="G22" s="9">
        <f>G20+G21</f>
        <v>5480369.2951999996</v>
      </c>
      <c r="H22" s="9">
        <f>H20+H21</f>
        <v>4898848.114000001</v>
      </c>
      <c r="I22" s="9">
        <f t="shared" si="2"/>
        <v>581521.18119999859</v>
      </c>
      <c r="J22" s="9">
        <f t="shared" si="3"/>
        <v>11.870569727159303</v>
      </c>
      <c r="K22" s="9"/>
      <c r="L22" s="9">
        <f>L20+L21</f>
        <v>810570.75908999995</v>
      </c>
      <c r="M22" s="9">
        <f>M20+M21</f>
        <v>708307.94383</v>
      </c>
      <c r="N22" s="9">
        <f t="shared" si="4"/>
        <v>102262.81525999994</v>
      </c>
      <c r="O22" s="9">
        <f t="shared" si="5"/>
        <v>14.4376208329726</v>
      </c>
      <c r="P22" s="9"/>
      <c r="Q22" s="9">
        <f>Q20+Q21</f>
        <v>1207839.45998</v>
      </c>
      <c r="R22" s="9">
        <f>R20+R21</f>
        <v>1369610.36564</v>
      </c>
      <c r="S22" s="9">
        <f t="shared" si="6"/>
        <v>-161770.90565999993</v>
      </c>
      <c r="T22" s="9">
        <f t="shared" si="7"/>
        <v>-11.81145453615245</v>
      </c>
      <c r="U22" s="9"/>
      <c r="V22" s="9">
        <f>V20+V21</f>
        <v>323637.47310999996</v>
      </c>
      <c r="W22" s="9">
        <f>W20+W21</f>
        <v>327617.21343</v>
      </c>
      <c r="X22" s="9">
        <f t="shared" si="8"/>
        <v>-3979.7403200000408</v>
      </c>
      <c r="Y22" s="9">
        <f t="shared" si="9"/>
        <v>-1.214753119451206</v>
      </c>
      <c r="Z22" s="9"/>
      <c r="AA22" s="11">
        <f>AA20+AA21</f>
        <v>10342779.012850003</v>
      </c>
      <c r="AB22" s="11">
        <f>AB20+AB21</f>
        <v>10020798.614560001</v>
      </c>
      <c r="AC22" s="11">
        <f t="shared" si="11"/>
        <v>321980.39829000272</v>
      </c>
      <c r="AD22" s="11">
        <f t="shared" si="12"/>
        <v>3.2131211360956029</v>
      </c>
    </row>
    <row r="23" spans="1:30" s="13" customFormat="1" ht="15" customHeight="1" x14ac:dyDescent="0.25">
      <c r="A23" s="8" t="s">
        <v>23</v>
      </c>
      <c r="B23" s="9">
        <v>2218536.4572600001</v>
      </c>
      <c r="C23" s="9">
        <v>2498719.1544599999</v>
      </c>
      <c r="D23" s="9">
        <f t="shared" si="0"/>
        <v>-280182.69719999982</v>
      </c>
      <c r="E23" s="9">
        <f t="shared" si="1"/>
        <v>-11.213052763448733</v>
      </c>
      <c r="F23" s="9"/>
      <c r="G23" s="9">
        <v>4807184.9134200001</v>
      </c>
      <c r="H23" s="9">
        <v>4183181.03871</v>
      </c>
      <c r="I23" s="9">
        <f t="shared" si="2"/>
        <v>624003.87471000012</v>
      </c>
      <c r="J23" s="9">
        <f t="shared" si="3"/>
        <v>14.916970337540757</v>
      </c>
      <c r="K23" s="9"/>
      <c r="L23" s="9">
        <v>668456.53567999997</v>
      </c>
      <c r="M23" s="9">
        <v>636277.63733000006</v>
      </c>
      <c r="N23" s="9">
        <f t="shared" si="4"/>
        <v>32178.898349999916</v>
      </c>
      <c r="O23" s="9">
        <f t="shared" si="5"/>
        <v>5.057367485840242</v>
      </c>
      <c r="P23" s="9"/>
      <c r="Q23" s="9">
        <v>945815.32487000013</v>
      </c>
      <c r="R23" s="9">
        <v>1195874.1491700001</v>
      </c>
      <c r="S23" s="9">
        <f t="shared" si="6"/>
        <v>-250058.82429999998</v>
      </c>
      <c r="T23" s="9">
        <f t="shared" si="7"/>
        <v>-20.910128751721409</v>
      </c>
      <c r="U23" s="9"/>
      <c r="V23" s="9">
        <v>230797.47641999999</v>
      </c>
      <c r="W23" s="9">
        <v>266457.06170999998</v>
      </c>
      <c r="X23" s="9">
        <f t="shared" si="8"/>
        <v>-35659.585289999988</v>
      </c>
      <c r="Y23" s="9">
        <f t="shared" si="9"/>
        <v>-13.382863663343365</v>
      </c>
      <c r="Z23" s="9"/>
      <c r="AA23" s="9">
        <f>B23+G23+L23+Q23+V23</f>
        <v>8870790.7076500002</v>
      </c>
      <c r="AB23" s="9">
        <f>C23+H23+M23+R23+W23</f>
        <v>8780509.0413799994</v>
      </c>
      <c r="AC23" s="11">
        <f t="shared" si="11"/>
        <v>90281.66627000086</v>
      </c>
      <c r="AD23" s="11">
        <f t="shared" si="12"/>
        <v>1.0282053790336012</v>
      </c>
    </row>
    <row r="24" spans="1:30" s="13" customFormat="1" ht="15" customHeight="1" x14ac:dyDescent="0.25">
      <c r="A24" s="8" t="s">
        <v>24</v>
      </c>
      <c r="B24" s="9">
        <f>ROUND((B23/B22*100),0)</f>
        <v>88</v>
      </c>
      <c r="C24" s="9">
        <f>ROUND((C23/C22*100),0)</f>
        <v>92</v>
      </c>
      <c r="D24" s="9"/>
      <c r="E24" s="9">
        <f>B24-C24</f>
        <v>-4</v>
      </c>
      <c r="F24" s="9"/>
      <c r="G24" s="9">
        <f>ROUND((G23/G22*100),0)</f>
        <v>88</v>
      </c>
      <c r="H24" s="9">
        <f>ROUND((H23/H22*100),0)</f>
        <v>85</v>
      </c>
      <c r="I24" s="9"/>
      <c r="J24" s="9">
        <f>G24-H24</f>
        <v>3</v>
      </c>
      <c r="K24" s="9"/>
      <c r="L24" s="9">
        <f>ROUND((L23/L22*100),0)</f>
        <v>82</v>
      </c>
      <c r="M24" s="9">
        <f>ROUND((M23/M22*100),0)</f>
        <v>90</v>
      </c>
      <c r="N24" s="9"/>
      <c r="O24" s="9">
        <f>L24-M24</f>
        <v>-8</v>
      </c>
      <c r="P24" s="9"/>
      <c r="Q24" s="9">
        <f>ROUND((Q23/Q22*100),0)</f>
        <v>78</v>
      </c>
      <c r="R24" s="9">
        <f>ROUND((R23/R22*100),0)</f>
        <v>87</v>
      </c>
      <c r="S24" s="9"/>
      <c r="T24" s="9">
        <f>Q24-R24</f>
        <v>-9</v>
      </c>
      <c r="U24" s="9"/>
      <c r="V24" s="9">
        <f>ROUND((V23/V22*100),0)</f>
        <v>71</v>
      </c>
      <c r="W24" s="9">
        <f>ROUND((W23/W22*100),0)</f>
        <v>81</v>
      </c>
      <c r="X24" s="9"/>
      <c r="Y24" s="9">
        <f>V24-W24</f>
        <v>-10</v>
      </c>
      <c r="Z24" s="9"/>
      <c r="AA24" s="9">
        <f>ROUND((AA23/AA22*100),0)</f>
        <v>86</v>
      </c>
      <c r="AB24" s="9">
        <f>ROUND((AB23/AB22*100),0)</f>
        <v>88</v>
      </c>
      <c r="AC24" s="9"/>
      <c r="AD24" s="9">
        <f>AA24-AB24</f>
        <v>-2</v>
      </c>
    </row>
    <row r="25" spans="1:30" s="13" customFormat="1" ht="15" customHeight="1" x14ac:dyDescent="0.25">
      <c r="A25" s="8" t="s">
        <v>25</v>
      </c>
      <c r="B25" s="9">
        <v>214699.34992000001</v>
      </c>
      <c r="C25" s="9">
        <v>223420.46628999998</v>
      </c>
      <c r="D25" s="9">
        <f>B25-C25</f>
        <v>-8721.1163699999743</v>
      </c>
      <c r="E25" s="9">
        <f>D25/C25*100</f>
        <v>-3.9034545558059826</v>
      </c>
      <c r="F25" s="9"/>
      <c r="G25" s="9">
        <v>482417.12369000004</v>
      </c>
      <c r="H25" s="9">
        <v>425418.31165000005</v>
      </c>
      <c r="I25" s="9">
        <f>G25-H25</f>
        <v>56998.81203999999</v>
      </c>
      <c r="J25" s="9">
        <f>I25/H25*100</f>
        <v>13.398297741093481</v>
      </c>
      <c r="K25" s="9"/>
      <c r="L25" s="9">
        <v>82731.449679999991</v>
      </c>
      <c r="M25" s="9">
        <v>78298.058839999998</v>
      </c>
      <c r="N25" s="9">
        <f>L25-M25</f>
        <v>4433.3908399999927</v>
      </c>
      <c r="O25" s="9">
        <f>N25/M25*100</f>
        <v>5.6621976402499445</v>
      </c>
      <c r="P25" s="9"/>
      <c r="Q25" s="9">
        <v>201526.02808999998</v>
      </c>
      <c r="R25" s="9">
        <v>195965.28951</v>
      </c>
      <c r="S25" s="9">
        <f>Q25-R25</f>
        <v>5560.7385799999756</v>
      </c>
      <c r="T25" s="9">
        <f>S25/R25*100</f>
        <v>2.8376140457854979</v>
      </c>
      <c r="U25" s="9"/>
      <c r="V25" s="9">
        <v>55111.405970000007</v>
      </c>
      <c r="W25" s="9">
        <v>46765.767979999997</v>
      </c>
      <c r="X25" s="9">
        <f>V25-W25</f>
        <v>8345.6379900000102</v>
      </c>
      <c r="Y25" s="9">
        <f>X25/W25*100</f>
        <v>17.84561304236281</v>
      </c>
      <c r="Z25" s="9"/>
      <c r="AA25" s="11">
        <f>+B25+G25+L25+Q25+V25</f>
        <v>1036485.3573499999</v>
      </c>
      <c r="AB25" s="11">
        <f>+C25+H25+M25+R25+W25</f>
        <v>969867.89427000005</v>
      </c>
      <c r="AC25" s="11">
        <f>AA25-AB25</f>
        <v>66617.463079999899</v>
      </c>
      <c r="AD25" s="11">
        <f>AC25/AB25*100</f>
        <v>6.8687151594126652</v>
      </c>
    </row>
    <row r="26" spans="1:30" s="13" customFormat="1" ht="15.75" customHeight="1" x14ac:dyDescent="0.25">
      <c r="A26" s="8" t="s">
        <v>24</v>
      </c>
      <c r="B26" s="9">
        <f>ROUND((B25/B22*100),0)</f>
        <v>9</v>
      </c>
      <c r="C26" s="9">
        <f>ROUND((C25/C22*100),0)</f>
        <v>8</v>
      </c>
      <c r="D26" s="9"/>
      <c r="E26" s="9">
        <f>B26-C26</f>
        <v>1</v>
      </c>
      <c r="F26" s="9"/>
      <c r="G26" s="9">
        <f>ROUND((G25/G22*100),0)</f>
        <v>9</v>
      </c>
      <c r="H26" s="9">
        <f>ROUND((H25/H22*100),0)</f>
        <v>9</v>
      </c>
      <c r="I26" s="9"/>
      <c r="J26" s="9">
        <f>G26-H26</f>
        <v>0</v>
      </c>
      <c r="K26" s="9"/>
      <c r="L26" s="9">
        <f>ROUND((L25/L22*100),0)</f>
        <v>10</v>
      </c>
      <c r="M26" s="9">
        <f>ROUND((M25/M22*100),0)</f>
        <v>11</v>
      </c>
      <c r="N26" s="9"/>
      <c r="O26" s="9">
        <f>L26-M26</f>
        <v>-1</v>
      </c>
      <c r="P26" s="9"/>
      <c r="Q26" s="9">
        <f>ROUND((Q25/Q22*100),0)</f>
        <v>17</v>
      </c>
      <c r="R26" s="9">
        <f>ROUND((R25/R22*100),0)</f>
        <v>14</v>
      </c>
      <c r="S26" s="9"/>
      <c r="T26" s="9">
        <f>Q26-R26</f>
        <v>3</v>
      </c>
      <c r="U26" s="9"/>
      <c r="V26" s="9">
        <f>ROUND((V25/V22*100),0)</f>
        <v>17</v>
      </c>
      <c r="W26" s="9">
        <f>ROUND((W25/W22*100),0)</f>
        <v>14</v>
      </c>
      <c r="X26" s="9"/>
      <c r="Y26" s="9">
        <f>V26-W26</f>
        <v>3</v>
      </c>
      <c r="Z26" s="9"/>
      <c r="AA26" s="9">
        <f>ROUND((AA25/AA22*100),0)</f>
        <v>10</v>
      </c>
      <c r="AB26" s="9">
        <f>ROUND((AB25/AB22*100),0)</f>
        <v>10</v>
      </c>
      <c r="AC26" s="9"/>
      <c r="AD26" s="9">
        <f>AA26-AB26</f>
        <v>0</v>
      </c>
    </row>
    <row r="27" spans="1:30" s="13" customFormat="1" ht="15" customHeight="1" x14ac:dyDescent="0.25">
      <c r="A27" s="8" t="s">
        <v>26</v>
      </c>
      <c r="B27" s="9">
        <f>+B22-B23-B25</f>
        <v>87126.218290000164</v>
      </c>
      <c r="C27" s="9">
        <f>+C22-C23-C25</f>
        <v>-5724.6430899999978</v>
      </c>
      <c r="D27" s="9">
        <f>B27-C27</f>
        <v>92850.861380000162</v>
      </c>
      <c r="E27" s="9">
        <f>D27/C27*100</f>
        <v>-1621.9502232758443</v>
      </c>
      <c r="F27" s="9"/>
      <c r="G27" s="9">
        <f>+G22-G23-G25</f>
        <v>190767.25808999944</v>
      </c>
      <c r="H27" s="9">
        <f>+H22-H23-H25</f>
        <v>290248.76364000095</v>
      </c>
      <c r="I27" s="9">
        <f>G27-H27</f>
        <v>-99481.505550001515</v>
      </c>
      <c r="J27" s="9">
        <f>I27/H27*100</f>
        <v>-34.274566514050555</v>
      </c>
      <c r="K27" s="9"/>
      <c r="L27" s="9">
        <f>+L22-L23-L25</f>
        <v>59382.773729999986</v>
      </c>
      <c r="M27" s="9">
        <f>+M22-M23-M25</f>
        <v>-6267.75234000005</v>
      </c>
      <c r="N27" s="9">
        <f>L27-M27</f>
        <v>65650.526070000036</v>
      </c>
      <c r="O27" s="9">
        <f>N27/M27*100</f>
        <v>-1047.4333143482104</v>
      </c>
      <c r="P27" s="9"/>
      <c r="Q27" s="9">
        <f>+Q22-Q23-Q25</f>
        <v>60498.107019999938</v>
      </c>
      <c r="R27" s="9">
        <f>+R22-R23-R25</f>
        <v>-22229.073040000134</v>
      </c>
      <c r="S27" s="9">
        <f>Q27-R27</f>
        <v>82727.180060000072</v>
      </c>
      <c r="T27" s="9">
        <f>S27/R27*100</f>
        <v>-372.15757900087215</v>
      </c>
      <c r="U27" s="9"/>
      <c r="V27" s="9">
        <f>+V22-V23-V25</f>
        <v>37728.590719999964</v>
      </c>
      <c r="W27" s="9">
        <f>+W22-W23-W25</f>
        <v>14394.383740000027</v>
      </c>
      <c r="X27" s="9">
        <f>V27-W27</f>
        <v>23334.206979999937</v>
      </c>
      <c r="Y27" s="9">
        <f>X27/W27*100</f>
        <v>162.10632842278173</v>
      </c>
      <c r="Z27" s="9"/>
      <c r="AA27" s="11">
        <f>AA22-AA23-AA25</f>
        <v>435502.94785000314</v>
      </c>
      <c r="AB27" s="11">
        <f>AB22-AB23-AB25</f>
        <v>270421.67891000118</v>
      </c>
      <c r="AC27" s="11">
        <f>AA27-AB27</f>
        <v>165081.26894000196</v>
      </c>
      <c r="AD27" s="11">
        <f>AC27/AB27*100</f>
        <v>61.045870880397324</v>
      </c>
    </row>
    <row r="28" spans="1:30" s="13" customFormat="1" ht="15" customHeight="1" x14ac:dyDescent="0.25">
      <c r="A28" s="8" t="s">
        <v>27</v>
      </c>
      <c r="B28" s="11">
        <v>33525.142619999999</v>
      </c>
      <c r="C28" s="11">
        <v>29229.671780000001</v>
      </c>
      <c r="D28" s="9">
        <f>B28-C28</f>
        <v>4295.4708399999981</v>
      </c>
      <c r="E28" s="9">
        <f>D28/C28*100</f>
        <v>14.695583557455869</v>
      </c>
      <c r="F28" s="9"/>
      <c r="G28" s="11">
        <v>62103.782850000003</v>
      </c>
      <c r="H28" s="11">
        <v>58683.984109999998</v>
      </c>
      <c r="I28" s="9">
        <f>G28-H28</f>
        <v>3419.7987400000056</v>
      </c>
      <c r="J28" s="9">
        <f>I28/H28*100</f>
        <v>5.8274822200036303</v>
      </c>
      <c r="K28" s="9"/>
      <c r="L28" s="9">
        <v>14966.27276</v>
      </c>
      <c r="M28" s="9">
        <v>16687.10485</v>
      </c>
      <c r="N28" s="9">
        <f>L28-M28</f>
        <v>-1720.8320899999999</v>
      </c>
      <c r="O28" s="9">
        <f>N28/M28*100</f>
        <v>-10.312346602172875</v>
      </c>
      <c r="P28" s="9"/>
      <c r="Q28" s="9">
        <v>42325.81897</v>
      </c>
      <c r="R28" s="9">
        <v>38531.892439999996</v>
      </c>
      <c r="S28" s="9">
        <f>Q28-R28</f>
        <v>3793.9265300000043</v>
      </c>
      <c r="T28" s="9">
        <f>S28/R28*100</f>
        <v>9.8461982782385373</v>
      </c>
      <c r="U28" s="9"/>
      <c r="V28" s="9">
        <v>14159.66301</v>
      </c>
      <c r="W28" s="9">
        <v>13909.578970000002</v>
      </c>
      <c r="X28" s="9">
        <f>V28-W28</f>
        <v>250.08403999999791</v>
      </c>
      <c r="Y28" s="9">
        <f>X28/W28*100</f>
        <v>1.7979267419910832</v>
      </c>
      <c r="Z28" s="9"/>
      <c r="AA28" s="9">
        <f>B28+G28+L28+Q28+V28</f>
        <v>167080.68020999999</v>
      </c>
      <c r="AB28" s="9">
        <f>C28+H28+M28+R28+W28</f>
        <v>157042.23215</v>
      </c>
      <c r="AC28" s="11">
        <f>AA28-AB28</f>
        <v>10038.448059999995</v>
      </c>
      <c r="AD28" s="11">
        <f>AC28/AB28*100</f>
        <v>6.3921964955335708</v>
      </c>
    </row>
    <row r="29" spans="1:30" s="13" customFormat="1" ht="15" customHeight="1" x14ac:dyDescent="0.25">
      <c r="A29" s="8" t="s">
        <v>28</v>
      </c>
      <c r="B29" s="9">
        <v>0</v>
      </c>
      <c r="C29" s="9">
        <v>0</v>
      </c>
      <c r="D29" s="9">
        <f>B29-C29</f>
        <v>0</v>
      </c>
      <c r="E29" s="9"/>
      <c r="F29" s="9"/>
      <c r="G29" s="9">
        <v>4765.7955999999995</v>
      </c>
      <c r="H29" s="9">
        <v>5658.5722300000007</v>
      </c>
      <c r="I29" s="9">
        <f>G29-H29</f>
        <v>-892.77663000000121</v>
      </c>
      <c r="J29" s="9">
        <f>I29/H29*100</f>
        <v>-15.777418643996016</v>
      </c>
      <c r="K29" s="9"/>
      <c r="L29" s="9">
        <v>7443.2728000000006</v>
      </c>
      <c r="M29" s="9">
        <v>6409.7590199999995</v>
      </c>
      <c r="N29" s="9">
        <f>L29-M29</f>
        <v>1033.5137800000011</v>
      </c>
      <c r="O29" s="9">
        <f>N29/M29*100</f>
        <v>16.124066080724532</v>
      </c>
      <c r="P29" s="9"/>
      <c r="Q29" s="9">
        <v>11782.20133</v>
      </c>
      <c r="R29" s="9">
        <v>7050.1631400000006</v>
      </c>
      <c r="S29" s="9">
        <f>Q29-R29</f>
        <v>4732.0381899999993</v>
      </c>
      <c r="T29" s="9">
        <f>S29/R29*100</f>
        <v>67.119555902929065</v>
      </c>
      <c r="U29" s="9"/>
      <c r="V29" s="9">
        <v>3094.3076099999998</v>
      </c>
      <c r="W29" s="9">
        <v>3017.0433700000003</v>
      </c>
      <c r="X29" s="9">
        <f>V29-W29</f>
        <v>77.264239999999518</v>
      </c>
      <c r="Y29" s="9">
        <f>X29/W29*100</f>
        <v>2.5609257317371448</v>
      </c>
      <c r="Z29" s="9"/>
      <c r="AA29" s="9">
        <f>B29+G29+L29+Q29+V29</f>
        <v>27085.57734</v>
      </c>
      <c r="AB29" s="9">
        <f>C29+H29+M29+R29+W29</f>
        <v>22135.537759999999</v>
      </c>
      <c r="AC29" s="11">
        <f>AA29-AB29</f>
        <v>4950.0395800000006</v>
      </c>
      <c r="AD29" s="11">
        <f>AC29/AB29*100</f>
        <v>22.362409414534145</v>
      </c>
    </row>
    <row r="30" spans="1:30" s="13" customFormat="1" ht="15" customHeight="1" x14ac:dyDescent="0.25">
      <c r="A30" s="8" t="s">
        <v>29</v>
      </c>
      <c r="B30" s="9">
        <f>+B27-B28-B29</f>
        <v>53601.075670000166</v>
      </c>
      <c r="C30" s="9">
        <f>+C27-C28-C29</f>
        <v>-34954.314870000002</v>
      </c>
      <c r="D30" s="9">
        <f>B30-C30</f>
        <v>88555.390540000168</v>
      </c>
      <c r="E30" s="9">
        <f>D30/C30*100</f>
        <v>-253.34609151788578</v>
      </c>
      <c r="F30" s="9"/>
      <c r="G30" s="9">
        <f>+G27-G28-G29</f>
        <v>123897.67963999943</v>
      </c>
      <c r="H30" s="9">
        <f>+H27-H28-H29</f>
        <v>225906.20730000097</v>
      </c>
      <c r="I30" s="9">
        <f>G30-H30</f>
        <v>-102008.52766000153</v>
      </c>
      <c r="J30" s="9">
        <f>I30/H30*100</f>
        <v>-45.155256634686147</v>
      </c>
      <c r="K30" s="9"/>
      <c r="L30" s="9">
        <f>+L27-L28-L29</f>
        <v>36973.228169999988</v>
      </c>
      <c r="M30" s="9">
        <f>+M27-M28-M29</f>
        <v>-29364.616210000051</v>
      </c>
      <c r="N30" s="9">
        <f>L30-M30</f>
        <v>66337.844380000039</v>
      </c>
      <c r="O30" s="9">
        <f>N30/M30*100</f>
        <v>-225.91081696960453</v>
      </c>
      <c r="P30" s="9"/>
      <c r="Q30" s="9">
        <f>+Q27-Q28-Q29</f>
        <v>6390.0867199999375</v>
      </c>
      <c r="R30" s="9">
        <f>+R27-R28-R29</f>
        <v>-67811.128620000134</v>
      </c>
      <c r="S30" s="9">
        <f>Q30-R30</f>
        <v>74201.215340000068</v>
      </c>
      <c r="T30" s="9">
        <f>S30/R30*100</f>
        <v>-109.42335992637535</v>
      </c>
      <c r="U30" s="9"/>
      <c r="V30" s="9">
        <f>+V27-V28-V29</f>
        <v>20474.620099999964</v>
      </c>
      <c r="W30" s="9">
        <f>+W27-W28-W29</f>
        <v>-2532.238599999976</v>
      </c>
      <c r="X30" s="9">
        <f>V30-W30</f>
        <v>23006.858699999939</v>
      </c>
      <c r="Y30" s="9">
        <f>X30/W30*100</f>
        <v>-908.55809164271318</v>
      </c>
      <c r="Z30" s="9"/>
      <c r="AA30" s="11">
        <f>AA27-AA28-AA29</f>
        <v>241336.69030000313</v>
      </c>
      <c r="AB30" s="11">
        <f>AB27-AB28-AB29</f>
        <v>91243.909000001178</v>
      </c>
      <c r="AC30" s="11">
        <f>AA30-AB30</f>
        <v>150092.78130000195</v>
      </c>
      <c r="AD30" s="11">
        <f>AC30/AB30*100</f>
        <v>164.49622001617666</v>
      </c>
    </row>
    <row r="31" spans="1:30" s="13" customFormat="1" ht="15" customHeight="1" x14ac:dyDescent="0.25">
      <c r="A31" s="8" t="s">
        <v>24</v>
      </c>
      <c r="B31" s="9">
        <f>ROUND((B30/B22*100),0)</f>
        <v>2</v>
      </c>
      <c r="C31" s="9">
        <f>ROUND((C30/C22*100),0)</f>
        <v>-1</v>
      </c>
      <c r="D31" s="9"/>
      <c r="E31" s="9">
        <f>B31-C31</f>
        <v>3</v>
      </c>
      <c r="F31" s="9"/>
      <c r="G31" s="9">
        <f>ROUND((G30/G22*100),0)</f>
        <v>2</v>
      </c>
      <c r="H31" s="9">
        <f>ROUND((H30/H22*100),0)</f>
        <v>5</v>
      </c>
      <c r="I31" s="9"/>
      <c r="J31" s="9">
        <f>G31-H31</f>
        <v>-3</v>
      </c>
      <c r="K31" s="9"/>
      <c r="L31" s="9">
        <f>ROUND((L30/L22*100),0)</f>
        <v>5</v>
      </c>
      <c r="M31" s="9">
        <f>ROUND((M30/M22*100),0)</f>
        <v>-4</v>
      </c>
      <c r="N31" s="9"/>
      <c r="O31" s="9">
        <f>L31-M31</f>
        <v>9</v>
      </c>
      <c r="P31" s="9"/>
      <c r="Q31" s="9">
        <f>ROUND((Q30/Q22*100),0)</f>
        <v>1</v>
      </c>
      <c r="R31" s="9">
        <f>ROUND((R30/R22*100),0)</f>
        <v>-5</v>
      </c>
      <c r="S31" s="9"/>
      <c r="T31" s="9">
        <f>Q31-R31</f>
        <v>6</v>
      </c>
      <c r="U31" s="9"/>
      <c r="V31" s="9">
        <f>ROUND((V30/V22*100),0)</f>
        <v>6</v>
      </c>
      <c r="W31" s="9">
        <f>ROUND((W30/W22*100),0)</f>
        <v>-1</v>
      </c>
      <c r="X31" s="9"/>
      <c r="Y31" s="9">
        <f>V31-W31</f>
        <v>7</v>
      </c>
      <c r="Z31" s="9"/>
      <c r="AA31" s="9">
        <f>ROUND((AA30/AA22*100),0)</f>
        <v>2</v>
      </c>
      <c r="AB31" s="9">
        <f>ROUND((AB30/AB22*100),0)</f>
        <v>1</v>
      </c>
      <c r="AC31" s="9"/>
      <c r="AD31" s="9">
        <f>AA31-AB31</f>
        <v>1</v>
      </c>
    </row>
    <row r="32" spans="1:30" s="13" customFormat="1" ht="15" customHeight="1" x14ac:dyDescent="0.25">
      <c r="A32" s="8" t="s">
        <v>30</v>
      </c>
      <c r="B32" s="9">
        <v>0</v>
      </c>
      <c r="C32" s="9">
        <v>0</v>
      </c>
      <c r="D32" s="9">
        <f>B32-C32</f>
        <v>0</v>
      </c>
      <c r="E32" s="9"/>
      <c r="F32" s="9"/>
      <c r="G32" s="9">
        <v>1570.1883600000001</v>
      </c>
      <c r="H32" s="9">
        <v>5230.1005599999999</v>
      </c>
      <c r="I32" s="9">
        <f>G32-H32</f>
        <v>-3659.9121999999998</v>
      </c>
      <c r="J32" s="9">
        <f>I32/H32*100</f>
        <v>-69.977855263264772</v>
      </c>
      <c r="K32" s="9"/>
      <c r="L32" s="9">
        <v>2270.8958700000003</v>
      </c>
      <c r="M32" s="9">
        <v>3465.3179799999994</v>
      </c>
      <c r="N32" s="9">
        <f>L32-M32</f>
        <v>-1194.4221099999991</v>
      </c>
      <c r="O32" s="9">
        <f>L32-M32</f>
        <v>-1194.4221099999991</v>
      </c>
      <c r="P32" s="9"/>
      <c r="Q32" s="9">
        <v>0</v>
      </c>
      <c r="R32" s="9">
        <v>0</v>
      </c>
      <c r="S32" s="9">
        <f>Q32-R32</f>
        <v>0</v>
      </c>
      <c r="T32" s="9">
        <f>Q32-R32</f>
        <v>0</v>
      </c>
      <c r="U32" s="9"/>
      <c r="V32" s="9">
        <v>0</v>
      </c>
      <c r="W32" s="9">
        <v>0</v>
      </c>
      <c r="X32" s="9">
        <f>V32-W32</f>
        <v>0</v>
      </c>
      <c r="Y32" s="9"/>
      <c r="Z32" s="9"/>
      <c r="AA32" s="9">
        <f>B32+G32+L32+Q32+V32</f>
        <v>3841.0842300000004</v>
      </c>
      <c r="AB32" s="9">
        <f>C32+H32+M32+R32+W32</f>
        <v>8695.4185399999988</v>
      </c>
      <c r="AC32" s="11">
        <f>AA32-AB32</f>
        <v>-4854.3343099999984</v>
      </c>
      <c r="AD32" s="11">
        <f>AC32/AB32*100</f>
        <v>-55.826344501641422</v>
      </c>
    </row>
    <row r="33" spans="1:30" s="13" customFormat="1" ht="15" customHeight="1" x14ac:dyDescent="0.25">
      <c r="A33" s="8" t="s">
        <v>31</v>
      </c>
      <c r="B33" s="9">
        <f>B30-B32</f>
        <v>53601.075670000166</v>
      </c>
      <c r="C33" s="9">
        <f>C30-C32</f>
        <v>-34954.314870000002</v>
      </c>
      <c r="D33" s="9">
        <f>B33-C33</f>
        <v>88555.390540000168</v>
      </c>
      <c r="E33" s="9">
        <f>D33/C33*100</f>
        <v>-253.34609151788578</v>
      </c>
      <c r="F33" s="9"/>
      <c r="G33" s="9">
        <f>G30-G32</f>
        <v>122327.49127999943</v>
      </c>
      <c r="H33" s="9">
        <f>H30-H32</f>
        <v>220676.10674000098</v>
      </c>
      <c r="I33" s="9">
        <f>G33-H33</f>
        <v>-98348.615460001543</v>
      </c>
      <c r="J33" s="9">
        <f>I33/H33*100</f>
        <v>-44.566952404990175</v>
      </c>
      <c r="K33" s="9"/>
      <c r="L33" s="9">
        <f>L30-L32</f>
        <v>34702.332299999987</v>
      </c>
      <c r="M33" s="9">
        <f>M30-M32</f>
        <v>-32829.934190000051</v>
      </c>
      <c r="N33" s="9">
        <f>L33-M33</f>
        <v>67532.266490000038</v>
      </c>
      <c r="O33" s="9">
        <f>N33/M33*100</f>
        <v>-205.703325809804</v>
      </c>
      <c r="P33" s="9"/>
      <c r="Q33" s="9">
        <f>Q30-Q32</f>
        <v>6390.0867199999375</v>
      </c>
      <c r="R33" s="9">
        <f>R30-R32</f>
        <v>-67811.128620000134</v>
      </c>
      <c r="S33" s="9">
        <f>Q33-R33</f>
        <v>74201.215340000068</v>
      </c>
      <c r="T33" s="9">
        <f>S33/R33*100</f>
        <v>-109.42335992637535</v>
      </c>
      <c r="U33" s="9"/>
      <c r="V33" s="9">
        <f>V30-V32</f>
        <v>20474.620099999964</v>
      </c>
      <c r="W33" s="9">
        <f>W30-W32</f>
        <v>-2532.238599999976</v>
      </c>
      <c r="X33" s="9">
        <f>V33-W33</f>
        <v>23006.858699999939</v>
      </c>
      <c r="Y33" s="9">
        <f>X33/W33*100</f>
        <v>-908.55809164271318</v>
      </c>
      <c r="Z33" s="9"/>
      <c r="AA33" s="9">
        <f>AA27-AA28-AA29-AA32</f>
        <v>237495.60607000312</v>
      </c>
      <c r="AB33" s="9">
        <f>AB27-AB28-AB29-AB32</f>
        <v>82548.49046000118</v>
      </c>
      <c r="AC33" s="11">
        <f>AA33-AB33</f>
        <v>154947.11561000196</v>
      </c>
      <c r="AD33" s="11">
        <f>AC33/AB33*100</f>
        <v>187.70435988176123</v>
      </c>
    </row>
    <row r="34" spans="1:30" s="13" customFormat="1" ht="15" customHeight="1" x14ac:dyDescent="0.25">
      <c r="A34" s="8" t="s">
        <v>24</v>
      </c>
      <c r="B34" s="9">
        <f>ROUND((B33/B22*100),0)</f>
        <v>2</v>
      </c>
      <c r="C34" s="9">
        <f>ROUND((C33/C22*100),0)</f>
        <v>-1</v>
      </c>
      <c r="D34" s="9"/>
      <c r="E34" s="9">
        <f>B34-C34</f>
        <v>3</v>
      </c>
      <c r="F34" s="9"/>
      <c r="G34" s="9">
        <f>ROUND((G33/G22*100),0)</f>
        <v>2</v>
      </c>
      <c r="H34" s="9">
        <f>ROUND((H33/H22*100),0)</f>
        <v>5</v>
      </c>
      <c r="I34" s="9"/>
      <c r="J34" s="9">
        <f>G34-H34</f>
        <v>-3</v>
      </c>
      <c r="K34" s="9"/>
      <c r="L34" s="9">
        <f>ROUND((L33/L22*100),0)</f>
        <v>4</v>
      </c>
      <c r="M34" s="9">
        <f>ROUND((M33/M22*100),0)</f>
        <v>-5</v>
      </c>
      <c r="N34" s="9"/>
      <c r="O34" s="9">
        <f>L34-M34</f>
        <v>9</v>
      </c>
      <c r="P34" s="9"/>
      <c r="Q34" s="9">
        <f>ROUND((Q33/Q22*100),0)</f>
        <v>1</v>
      </c>
      <c r="R34" s="9">
        <f>ROUND((R33/R22*100),0)</f>
        <v>-5</v>
      </c>
      <c r="S34" s="9"/>
      <c r="T34" s="9">
        <f>Q34-R34</f>
        <v>6</v>
      </c>
      <c r="U34" s="9"/>
      <c r="V34" s="9">
        <f>ROUND((V33/V22*100),0)</f>
        <v>6</v>
      </c>
      <c r="W34" s="9">
        <f>ROUND((W33/W22*100),0)</f>
        <v>-1</v>
      </c>
      <c r="X34" s="9"/>
      <c r="Y34" s="9">
        <f>V34-W34</f>
        <v>7</v>
      </c>
      <c r="Z34" s="9"/>
      <c r="AA34" s="9">
        <f>ROUND((AA33/AA22*100),0)</f>
        <v>2</v>
      </c>
      <c r="AB34" s="9">
        <f>ROUND((AB33/AB22*100),0)</f>
        <v>1</v>
      </c>
      <c r="AC34" s="9"/>
      <c r="AD34" s="9">
        <f>AA34-AB34</f>
        <v>1</v>
      </c>
    </row>
    <row r="35" spans="1:30" ht="15.75" customHeight="1" x14ac:dyDescent="0.25">
      <c r="B35" s="15"/>
      <c r="C35" s="15"/>
      <c r="D35" s="15"/>
      <c r="E35" s="9"/>
      <c r="F35" s="15"/>
      <c r="G35" s="15"/>
      <c r="H35" s="15"/>
      <c r="I35" s="15"/>
      <c r="J35" s="9"/>
      <c r="K35" s="15"/>
      <c r="L35" s="15"/>
      <c r="M35" s="15"/>
      <c r="N35" s="15"/>
      <c r="O35" s="9"/>
      <c r="P35" s="15"/>
      <c r="Q35" s="15"/>
      <c r="R35" s="15"/>
      <c r="S35" s="15"/>
      <c r="T35" s="9"/>
      <c r="U35" s="15"/>
      <c r="V35" s="15"/>
      <c r="W35" s="15"/>
      <c r="X35" s="15"/>
      <c r="Y35" s="9"/>
      <c r="Z35" s="15"/>
      <c r="AA35" s="15"/>
      <c r="AB35" s="15"/>
      <c r="AC35" s="17"/>
      <c r="AD35" s="11"/>
    </row>
    <row r="36" spans="1:30" ht="15.6" x14ac:dyDescent="0.3">
      <c r="A36" s="1" t="s">
        <v>32</v>
      </c>
      <c r="B36" s="15"/>
      <c r="C36" s="15"/>
      <c r="D36" s="15"/>
      <c r="E36" s="9"/>
      <c r="F36" s="15"/>
      <c r="G36" s="15"/>
      <c r="H36" s="15"/>
      <c r="I36" s="15"/>
      <c r="J36" s="9"/>
      <c r="K36" s="15"/>
      <c r="L36" s="15"/>
      <c r="M36" s="15"/>
      <c r="N36" s="15"/>
      <c r="O36" s="9"/>
      <c r="P36" s="15"/>
      <c r="Q36" s="15"/>
      <c r="R36" s="15"/>
      <c r="S36" s="15"/>
      <c r="T36" s="9"/>
      <c r="U36" s="15"/>
      <c r="V36" s="15"/>
      <c r="W36" s="15"/>
      <c r="X36" s="15"/>
      <c r="Y36" s="9"/>
      <c r="Z36" s="15"/>
      <c r="AA36" s="15"/>
      <c r="AB36" s="15"/>
      <c r="AC36" s="17"/>
      <c r="AD36" s="11"/>
    </row>
    <row r="37" spans="1:30" ht="11.25" customHeight="1" x14ac:dyDescent="0.25">
      <c r="B37" s="15"/>
      <c r="C37" s="15"/>
      <c r="D37" s="15"/>
      <c r="E37" s="9"/>
      <c r="F37" s="15"/>
      <c r="G37" s="15"/>
      <c r="H37" s="15"/>
      <c r="I37" s="15"/>
      <c r="J37" s="9"/>
      <c r="K37" s="15"/>
      <c r="L37" s="18"/>
      <c r="M37" s="18"/>
      <c r="N37" s="15"/>
      <c r="O37" s="9"/>
      <c r="P37" s="15"/>
      <c r="Q37" s="15"/>
      <c r="R37" s="15"/>
      <c r="S37" s="15"/>
      <c r="T37" s="9"/>
      <c r="U37" s="15"/>
      <c r="V37" s="15"/>
      <c r="W37" s="15"/>
      <c r="X37" s="15"/>
      <c r="Y37" s="9"/>
      <c r="Z37" s="15"/>
      <c r="AA37" s="17"/>
      <c r="AB37" s="17"/>
      <c r="AC37" s="17"/>
      <c r="AD37" s="11"/>
    </row>
    <row r="38" spans="1:30" s="13" customFormat="1" ht="15" customHeight="1" x14ac:dyDescent="0.25">
      <c r="A38" s="8" t="s">
        <v>33</v>
      </c>
      <c r="B38" s="9">
        <v>251630.42</v>
      </c>
      <c r="C38" s="9">
        <v>118271.26439</v>
      </c>
      <c r="D38" s="9">
        <f>B38-C38</f>
        <v>133359.15561000002</v>
      </c>
      <c r="E38" s="9">
        <f>D38/C38*100</f>
        <v>112.75702200176674</v>
      </c>
      <c r="F38" s="9"/>
      <c r="G38" s="9">
        <v>1155711.4099999999</v>
      </c>
      <c r="H38" s="9">
        <v>1101003.60996</v>
      </c>
      <c r="I38" s="9">
        <f>G38-H38</f>
        <v>54707.800039999885</v>
      </c>
      <c r="J38" s="9">
        <f>I38/H38*100</f>
        <v>4.9689028759848881</v>
      </c>
      <c r="K38" s="9"/>
      <c r="L38" s="9">
        <v>120903.94</v>
      </c>
      <c r="M38" s="9">
        <v>58111.799129999999</v>
      </c>
      <c r="N38" s="9">
        <f>L38-M38</f>
        <v>62792.140870000003</v>
      </c>
      <c r="O38" s="9">
        <f>N38/M38*100</f>
        <v>108.05403000779543</v>
      </c>
      <c r="P38" s="9"/>
      <c r="Q38" s="9">
        <v>163018.45000000001</v>
      </c>
      <c r="R38" s="9">
        <v>141927.79118999999</v>
      </c>
      <c r="S38" s="9">
        <f>Q38-R38</f>
        <v>21090.658810000023</v>
      </c>
      <c r="T38" s="9">
        <f>S38/R38*100</f>
        <v>14.860133193904055</v>
      </c>
      <c r="U38" s="9"/>
      <c r="V38" s="9">
        <v>97646.07</v>
      </c>
      <c r="W38" s="9">
        <v>57394.418520000007</v>
      </c>
      <c r="X38" s="9">
        <f>V38-W38</f>
        <v>40251.65148</v>
      </c>
      <c r="Y38" s="9">
        <f>X38/W38*100</f>
        <v>70.131647846512578</v>
      </c>
      <c r="Z38" s="9"/>
      <c r="AA38" s="9">
        <f t="shared" ref="AA38:AB40" si="14">B38+G38+L38+Q38+V38</f>
        <v>1788910.2899999998</v>
      </c>
      <c r="AB38" s="9">
        <f t="shared" si="14"/>
        <v>1476708.88319</v>
      </c>
      <c r="AC38" s="11">
        <f>AA38-AB38</f>
        <v>312201.40680999984</v>
      </c>
      <c r="AD38" s="11">
        <f>AC38/AB38*100</f>
        <v>21.141703037336615</v>
      </c>
    </row>
    <row r="39" spans="1:30" s="13" customFormat="1" ht="15" customHeight="1" x14ac:dyDescent="0.25">
      <c r="A39" s="8" t="s">
        <v>34</v>
      </c>
      <c r="B39" s="9">
        <v>0</v>
      </c>
      <c r="C39" s="9">
        <v>0</v>
      </c>
      <c r="D39" s="9">
        <f>B39-C39</f>
        <v>0</v>
      </c>
      <c r="E39" s="9">
        <f>IFERROR(D39/C39*100,0)</f>
        <v>0</v>
      </c>
      <c r="F39" s="9"/>
      <c r="G39" s="9">
        <v>0</v>
      </c>
      <c r="H39" s="9">
        <v>0</v>
      </c>
      <c r="I39" s="9">
        <f>G39-H39</f>
        <v>0</v>
      </c>
      <c r="J39" s="9">
        <f>IFERROR(I39/H39*100,0)</f>
        <v>0</v>
      </c>
      <c r="K39" s="9"/>
      <c r="L39" s="9">
        <v>5622.92</v>
      </c>
      <c r="M39" s="9">
        <v>544.73702000000003</v>
      </c>
      <c r="N39" s="9">
        <f>L39-M39</f>
        <v>5078.1829799999996</v>
      </c>
      <c r="O39" s="9">
        <f>N39/M39*100</f>
        <v>932.2265228091162</v>
      </c>
      <c r="P39" s="9"/>
      <c r="Q39" s="9">
        <v>0</v>
      </c>
      <c r="R39" s="9">
        <v>0</v>
      </c>
      <c r="S39" s="9">
        <f>Q39-R39</f>
        <v>0</v>
      </c>
      <c r="T39" s="9">
        <f>IFERROR(S39/R39*100,0)</f>
        <v>0</v>
      </c>
      <c r="U39" s="9"/>
      <c r="V39" s="9">
        <v>9513.07</v>
      </c>
      <c r="W39" s="9">
        <v>762.16694999999993</v>
      </c>
      <c r="X39" s="9">
        <f>V39-W39</f>
        <v>8750.903049999999</v>
      </c>
      <c r="Y39" s="9">
        <f>X39/W39*100</f>
        <v>1148.1609180245875</v>
      </c>
      <c r="Z39" s="9"/>
      <c r="AA39" s="9">
        <f t="shared" si="14"/>
        <v>15135.99</v>
      </c>
      <c r="AB39" s="9">
        <f t="shared" si="14"/>
        <v>1306.9039699999998</v>
      </c>
      <c r="AC39" s="11">
        <f>AA39-AB39</f>
        <v>13829.08603</v>
      </c>
      <c r="AD39" s="11">
        <f>AC39/AB39*100</f>
        <v>1058.156249230768</v>
      </c>
    </row>
    <row r="40" spans="1:30" s="13" customFormat="1" ht="15" customHeight="1" x14ac:dyDescent="0.25">
      <c r="A40" s="8" t="s">
        <v>35</v>
      </c>
      <c r="B40" s="9">
        <v>3812.29</v>
      </c>
      <c r="C40" s="9">
        <v>3810.3540600000001</v>
      </c>
      <c r="D40" s="9">
        <f>B40-C40</f>
        <v>1.9359399999998459</v>
      </c>
      <c r="E40" s="9">
        <f>D40/C40*100</f>
        <v>5.0807352007593905E-2</v>
      </c>
      <c r="F40" s="9"/>
      <c r="G40" s="9">
        <v>46371.7</v>
      </c>
      <c r="H40" s="9">
        <v>185921.62883999999</v>
      </c>
      <c r="I40" s="9">
        <f>G40-H40</f>
        <v>-139549.92884000001</v>
      </c>
      <c r="J40" s="9">
        <f>I40/H40*100</f>
        <v>-75.058469372648176</v>
      </c>
      <c r="K40" s="9"/>
      <c r="L40" s="9">
        <v>7234.74</v>
      </c>
      <c r="M40" s="9">
        <v>1028.12682</v>
      </c>
      <c r="N40" s="9">
        <f>L40-M40</f>
        <v>6206.6131800000003</v>
      </c>
      <c r="O40" s="9">
        <f>N40/M40*100</f>
        <v>603.68167226685136</v>
      </c>
      <c r="P40" s="9"/>
      <c r="Q40" s="9">
        <v>15856.83</v>
      </c>
      <c r="R40" s="9">
        <v>-149.40322</v>
      </c>
      <c r="S40" s="9">
        <f>Q40-R40</f>
        <v>16006.23322</v>
      </c>
      <c r="T40" s="9">
        <f>S40/R40*100</f>
        <v>-10713.44594848759</v>
      </c>
      <c r="U40" s="9"/>
      <c r="V40" s="9">
        <v>4460.04</v>
      </c>
      <c r="W40" s="9">
        <v>4458.2269699999997</v>
      </c>
      <c r="X40" s="9">
        <f>V40-W40</f>
        <v>1.8130300000002535</v>
      </c>
      <c r="Y40" s="9">
        <f>X40/W40*100</f>
        <v>4.0667063660068739E-2</v>
      </c>
      <c r="Z40" s="9"/>
      <c r="AA40" s="9">
        <f t="shared" si="14"/>
        <v>77735.599999999991</v>
      </c>
      <c r="AB40" s="9">
        <f t="shared" si="14"/>
        <v>195068.93346999999</v>
      </c>
      <c r="AC40" s="11">
        <f>AA40-AB40</f>
        <v>-117333.33347</v>
      </c>
      <c r="AD40" s="11">
        <f>AC40/AB40*100</f>
        <v>-60.149677030989103</v>
      </c>
    </row>
    <row r="41" spans="1:30" s="13" customFormat="1" ht="15" customHeight="1" x14ac:dyDescent="0.25">
      <c r="A41" s="8" t="s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1"/>
      <c r="AB41" s="11"/>
      <c r="AC41" s="11"/>
      <c r="AD41" s="11"/>
    </row>
    <row r="42" spans="1:30" s="13" customFormat="1" ht="15" hidden="1" customHeight="1" x14ac:dyDescent="0.25">
      <c r="A42" s="8" t="s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s="13" customFormat="1" ht="15" hidden="1" customHeight="1" x14ac:dyDescent="0.25">
      <c r="A43" s="8" t="s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13" customFormat="1" ht="15" hidden="1" customHeight="1" x14ac:dyDescent="0.25">
      <c r="A44" s="8" t="s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13" customFormat="1" ht="15" hidden="1" customHeight="1" x14ac:dyDescent="0.25">
      <c r="A45" s="8" t="s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13" customFormat="1" ht="15" hidden="1" customHeight="1" x14ac:dyDescent="0.25">
      <c r="A46" s="8" t="s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s="13" customFormat="1" ht="15" customHeight="1" x14ac:dyDescent="0.25">
      <c r="A47" s="8" t="s">
        <v>42</v>
      </c>
      <c r="B47" s="9">
        <v>697933.01</v>
      </c>
      <c r="C47" s="9">
        <v>802232.45901999995</v>
      </c>
      <c r="D47" s="9">
        <f>B47-C47</f>
        <v>-104299.44901999994</v>
      </c>
      <c r="E47" s="9">
        <f>D47/C47*100</f>
        <v>-13.001150457987107</v>
      </c>
      <c r="F47" s="9"/>
      <c r="G47" s="9">
        <v>1283242.83</v>
      </c>
      <c r="H47" s="9">
        <v>1196815.8625999999</v>
      </c>
      <c r="I47" s="9">
        <f>G47-H47</f>
        <v>86426.967400000198</v>
      </c>
      <c r="J47" s="9">
        <f>I47/H47*100</f>
        <v>7.2214089151729306</v>
      </c>
      <c r="K47" s="9"/>
      <c r="L47" s="9">
        <v>148803.89000000001</v>
      </c>
      <c r="M47" s="9">
        <v>147549.93869000001</v>
      </c>
      <c r="N47" s="9">
        <f>L47-M47</f>
        <v>1253.951310000004</v>
      </c>
      <c r="O47" s="9">
        <f>N47/M47*100</f>
        <v>0.84984875028280094</v>
      </c>
      <c r="P47" s="9"/>
      <c r="Q47" s="9">
        <v>337586.72</v>
      </c>
      <c r="R47" s="9">
        <v>355466.78943</v>
      </c>
      <c r="S47" s="9">
        <f>Q47-R47</f>
        <v>-17880.069430000032</v>
      </c>
      <c r="T47" s="9">
        <f>S47/R47*100</f>
        <v>-5.03002529678544</v>
      </c>
      <c r="U47" s="9"/>
      <c r="V47" s="9">
        <v>62474.87</v>
      </c>
      <c r="W47" s="9">
        <v>65898.702479999993</v>
      </c>
      <c r="X47" s="9">
        <f>V47-W47</f>
        <v>-3423.83247999999</v>
      </c>
      <c r="Y47" s="9">
        <f>X47/W47*100</f>
        <v>-5.1955992320776119</v>
      </c>
      <c r="Z47" s="9"/>
      <c r="AA47" s="9">
        <f>B47+G47+L47+Q47+V47</f>
        <v>2530041.3200000003</v>
      </c>
      <c r="AB47" s="9">
        <f>C47+H47+M47+R47+W47</f>
        <v>2567963.7522199997</v>
      </c>
      <c r="AC47" s="11">
        <f>AA47-AB47</f>
        <v>-37922.432219999377</v>
      </c>
      <c r="AD47" s="11">
        <f>AC47/AB47*100</f>
        <v>-1.4767510712413876</v>
      </c>
    </row>
    <row r="48" spans="1:30" s="21" customFormat="1" ht="15" customHeight="1" x14ac:dyDescent="0.25">
      <c r="A48" s="20" t="s">
        <v>43</v>
      </c>
      <c r="B48" s="10">
        <f>B47/(B13/6)</f>
        <v>1.4311119864326836</v>
      </c>
      <c r="C48" s="10">
        <f>C47/(C13/6)</f>
        <v>1.5701308296667833</v>
      </c>
      <c r="D48" s="10">
        <f>B48-C48</f>
        <v>-0.13901884323409974</v>
      </c>
      <c r="E48" s="9">
        <f>D48/C48*100</f>
        <v>-8.8539655809193061</v>
      </c>
      <c r="F48" s="10"/>
      <c r="G48" s="10">
        <f>G47/(G13/6)</f>
        <v>1.2097425027768269</v>
      </c>
      <c r="H48" s="10">
        <f>H47/(H13/6)</f>
        <v>1.2450341836954011</v>
      </c>
      <c r="I48" s="10">
        <f>G48-H48</f>
        <v>-3.5291680918574153E-2</v>
      </c>
      <c r="J48" s="9">
        <f>I48/H48*100</f>
        <v>-2.8345953372801769</v>
      </c>
      <c r="K48" s="10"/>
      <c r="L48" s="10">
        <f>L47/(L13/6)</f>
        <v>0.98176385507422492</v>
      </c>
      <c r="M48" s="10">
        <f>M47/(M13/6)</f>
        <v>1.0687675358099513</v>
      </c>
      <c r="N48" s="10">
        <f>L48-M48</f>
        <v>-8.7003680735726396E-2</v>
      </c>
      <c r="O48" s="9">
        <f>N48/M48*100</f>
        <v>-8.1405617050102297</v>
      </c>
      <c r="P48" s="10"/>
      <c r="Q48" s="10">
        <f>Q47/(Q13/6)</f>
        <v>1.4295783362769801</v>
      </c>
      <c r="R48" s="10">
        <f>R47/(R13/6)</f>
        <v>1.3873166032419981</v>
      </c>
      <c r="S48" s="10">
        <f>Q48-R48</f>
        <v>4.226173303498193E-2</v>
      </c>
      <c r="T48" s="9">
        <f>S48/R48*100</f>
        <v>3.0462933216701336</v>
      </c>
      <c r="U48" s="10"/>
      <c r="V48" s="10">
        <f>V47/(V13/6)</f>
        <v>1.0521638579403683</v>
      </c>
      <c r="W48" s="10">
        <f>W47/(W13/6)</f>
        <v>1.072648880188497</v>
      </c>
      <c r="X48" s="10">
        <f>V48-W48</f>
        <v>-2.0485022248128759E-2</v>
      </c>
      <c r="Y48" s="9">
        <f>X48/W48*100</f>
        <v>-1.9097602791072619</v>
      </c>
      <c r="Z48" s="10"/>
      <c r="AA48" s="10">
        <f>AA47/(AA13/6)</f>
        <v>1.2678527334846603</v>
      </c>
      <c r="AB48" s="10">
        <f>AB47/(AB13/6)</f>
        <v>1.3319847492880037</v>
      </c>
      <c r="AC48" s="12">
        <f>AA48-AB48</f>
        <v>-6.4132015803343378E-2</v>
      </c>
      <c r="AD48" s="11">
        <f>AC48/AB48*100</f>
        <v>-4.8147710277932516</v>
      </c>
    </row>
    <row r="49" spans="1:41" s="13" customFormat="1" ht="15" customHeight="1" x14ac:dyDescent="0.25">
      <c r="A49" s="8" t="s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1"/>
      <c r="AB49" s="11"/>
      <c r="AC49" s="11"/>
      <c r="AD49" s="11"/>
    </row>
    <row r="50" spans="1:41" s="13" customFormat="1" ht="15" customHeight="1" x14ac:dyDescent="0.25">
      <c r="A50" s="8" t="s">
        <v>42</v>
      </c>
      <c r="B50" s="9">
        <v>365404.56</v>
      </c>
      <c r="C50" s="9">
        <v>543857.31370000006</v>
      </c>
      <c r="D50" s="9">
        <f t="shared" ref="D50:D55" si="15">B50-C50</f>
        <v>-178452.75370000006</v>
      </c>
      <c r="E50" s="9">
        <f t="shared" ref="E50:E55" si="16">D50/C50*100</f>
        <v>-32.812421420968022</v>
      </c>
      <c r="F50" s="9"/>
      <c r="G50" s="9">
        <v>843209.52</v>
      </c>
      <c r="H50" s="9">
        <v>1141600.4682700001</v>
      </c>
      <c r="I50" s="9">
        <f t="shared" ref="I50:I55" si="17">G50-H50</f>
        <v>-298390.94827000005</v>
      </c>
      <c r="J50" s="9">
        <f t="shared" ref="J50:J55" si="18">I50/H50*100</f>
        <v>-26.13794900786845</v>
      </c>
      <c r="K50" s="9"/>
      <c r="L50" s="9">
        <v>99356.99</v>
      </c>
      <c r="M50" s="9">
        <v>126457.97292</v>
      </c>
      <c r="N50" s="9">
        <f t="shared" ref="N50:N55" si="19">L50-M50</f>
        <v>-27100.982919999995</v>
      </c>
      <c r="O50" s="9">
        <f t="shared" ref="O50:O55" si="20">N50/M50*100</f>
        <v>-21.430821872452952</v>
      </c>
      <c r="P50" s="9"/>
      <c r="Q50" s="9">
        <v>225821.6</v>
      </c>
      <c r="R50" s="9">
        <v>341745.34012999997</v>
      </c>
      <c r="S50" s="9">
        <f t="shared" ref="S50:S55" si="21">Q50-R50</f>
        <v>-115923.74012999996</v>
      </c>
      <c r="T50" s="9">
        <f t="shared" ref="T50:T55" si="22">S50/R50*100</f>
        <v>-33.921088751613283</v>
      </c>
      <c r="U50" s="9"/>
      <c r="V50" s="9">
        <v>41529.53</v>
      </c>
      <c r="W50" s="9">
        <v>59914.91803999999</v>
      </c>
      <c r="X50" s="9">
        <f t="shared" ref="X50:X55" si="23">V50-W50</f>
        <v>-18385.388039999991</v>
      </c>
      <c r="Y50" s="9">
        <f t="shared" ref="Y50:Y55" si="24">X50/W50*100</f>
        <v>-30.685826904954894</v>
      </c>
      <c r="Z50" s="9"/>
      <c r="AA50" s="9">
        <f>B50+G50+L50+Q50+V50</f>
        <v>1575322.2000000002</v>
      </c>
      <c r="AB50" s="9">
        <f>C50+H50+M50+R50+W50</f>
        <v>2213576.0130600003</v>
      </c>
      <c r="AC50" s="11">
        <f t="shared" ref="AC50:AC55" si="25">AA50-AB50</f>
        <v>-638253.81306000007</v>
      </c>
      <c r="AD50" s="11">
        <f t="shared" ref="AD50:AD55" si="26">AC50/AB50*100</f>
        <v>-28.833607217205593</v>
      </c>
    </row>
    <row r="51" spans="1:41" s="21" customFormat="1" ht="15" customHeight="1" x14ac:dyDescent="0.25">
      <c r="A51" s="20" t="s">
        <v>45</v>
      </c>
      <c r="B51" s="10">
        <f>B50/(B23/6)</f>
        <v>0.98823138687914724</v>
      </c>
      <c r="C51" s="10">
        <f>C50/(C23/6)</f>
        <v>1.3059266289993288</v>
      </c>
      <c r="D51" s="10">
        <f t="shared" si="15"/>
        <v>-0.31769524212018152</v>
      </c>
      <c r="E51" s="9">
        <f t="shared" si="16"/>
        <v>-24.327189220700454</v>
      </c>
      <c r="F51" s="10"/>
      <c r="G51" s="10">
        <f>G50/(G23/6)</f>
        <v>1.0524365530180255</v>
      </c>
      <c r="H51" s="10">
        <f>H50/(H23/6)</f>
        <v>1.6374148635298524</v>
      </c>
      <c r="I51" s="10">
        <f t="shared" si="17"/>
        <v>-0.58497831051182692</v>
      </c>
      <c r="J51" s="9">
        <f t="shared" si="18"/>
        <v>-35.725723733248735</v>
      </c>
      <c r="K51" s="10"/>
      <c r="L51" s="10">
        <f>L50/(L23/6)</f>
        <v>0.89181855241128494</v>
      </c>
      <c r="M51" s="10">
        <f>M50/(M23/6)</f>
        <v>1.1924791836216644</v>
      </c>
      <c r="N51" s="10">
        <f t="shared" si="19"/>
        <v>-0.30066063121037945</v>
      </c>
      <c r="O51" s="9">
        <f t="shared" si="20"/>
        <v>-25.213071669498383</v>
      </c>
      <c r="P51" s="10"/>
      <c r="Q51" s="10">
        <f>Q50/(Q23/6)</f>
        <v>1.4325519627060723</v>
      </c>
      <c r="R51" s="10">
        <f>R50/(R23/6)</f>
        <v>1.7146219292415812</v>
      </c>
      <c r="S51" s="10">
        <f t="shared" si="21"/>
        <v>-0.28206996653550886</v>
      </c>
      <c r="T51" s="9">
        <f t="shared" si="22"/>
        <v>-16.450854950879766</v>
      </c>
      <c r="U51" s="10"/>
      <c r="V51" s="10">
        <f>V50/(V23/6)</f>
        <v>1.0796356349518874</v>
      </c>
      <c r="W51" s="10">
        <f>W50/(W23/6)</f>
        <v>1.3491461098195714</v>
      </c>
      <c r="X51" s="10">
        <f t="shared" si="23"/>
        <v>-0.26951047486768398</v>
      </c>
      <c r="Y51" s="9">
        <f t="shared" si="24"/>
        <v>-19.976374160373712</v>
      </c>
      <c r="Z51" s="10"/>
      <c r="AA51" s="10">
        <f>AA50/(AA23/6)</f>
        <v>1.0655119156231287</v>
      </c>
      <c r="AB51" s="10">
        <f>AB50/(AB23/6)</f>
        <v>1.5126066171981989</v>
      </c>
      <c r="AC51" s="12">
        <f t="shared" si="25"/>
        <v>-0.44709470157507014</v>
      </c>
      <c r="AD51" s="11">
        <f t="shared" si="26"/>
        <v>-29.55789671231398</v>
      </c>
    </row>
    <row r="52" spans="1:41" s="13" customFormat="1" ht="15" customHeight="1" x14ac:dyDescent="0.25">
      <c r="A52" s="8" t="s">
        <v>46</v>
      </c>
      <c r="B52" s="9">
        <v>373085.20269166672</v>
      </c>
      <c r="C52" s="9">
        <v>382709.24576833326</v>
      </c>
      <c r="D52" s="9">
        <f t="shared" si="15"/>
        <v>-9624.0430766665377</v>
      </c>
      <c r="E52" s="9">
        <f t="shared" si="16"/>
        <v>-2.5147140245710955</v>
      </c>
      <c r="F52" s="9"/>
      <c r="G52" s="9">
        <v>873711.9144933332</v>
      </c>
      <c r="H52" s="9">
        <v>757001.42929333344</v>
      </c>
      <c r="I52" s="9">
        <f t="shared" si="17"/>
        <v>116710.48519999976</v>
      </c>
      <c r="J52" s="9">
        <f t="shared" si="18"/>
        <v>15.417472237661411</v>
      </c>
      <c r="K52" s="9"/>
      <c r="L52" s="9">
        <v>118496.59931999999</v>
      </c>
      <c r="M52" s="9">
        <v>93952.052205</v>
      </c>
      <c r="N52" s="9">
        <f t="shared" si="19"/>
        <v>24544.547114999994</v>
      </c>
      <c r="O52" s="9">
        <f t="shared" si="20"/>
        <v>26.124546019968438</v>
      </c>
      <c r="P52" s="9"/>
      <c r="Q52" s="9">
        <v>176853.48984833332</v>
      </c>
      <c r="R52" s="9">
        <v>197366.68282833335</v>
      </c>
      <c r="S52" s="9">
        <f t="shared" si="21"/>
        <v>-20513.192980000022</v>
      </c>
      <c r="T52" s="9">
        <f t="shared" si="22"/>
        <v>-10.393442644948387</v>
      </c>
      <c r="U52" s="9"/>
      <c r="V52" s="9">
        <v>35328.049078333337</v>
      </c>
      <c r="W52" s="9">
        <v>39709.561229999999</v>
      </c>
      <c r="X52" s="9">
        <f t="shared" si="23"/>
        <v>-4381.5121516666622</v>
      </c>
      <c r="Y52" s="9">
        <f t="shared" si="24"/>
        <v>-11.033897167205396</v>
      </c>
      <c r="Z52" s="9"/>
      <c r="AA52" s="9">
        <f t="shared" ref="AA52:AB54" si="27">B52+G52+L52+Q52+V52</f>
        <v>1577475.2554316667</v>
      </c>
      <c r="AB52" s="9">
        <f t="shared" si="27"/>
        <v>1470738.9713250003</v>
      </c>
      <c r="AC52" s="11">
        <f t="shared" si="25"/>
        <v>106736.28410666646</v>
      </c>
      <c r="AD52" s="11">
        <f t="shared" si="26"/>
        <v>7.2573234399648019</v>
      </c>
    </row>
    <row r="53" spans="1:41" s="13" customFormat="1" ht="15" customHeight="1" x14ac:dyDescent="0.25">
      <c r="A53" s="8" t="s">
        <v>47</v>
      </c>
      <c r="B53" s="9">
        <v>104.447</v>
      </c>
      <c r="C53" s="9">
        <v>269.43763999999999</v>
      </c>
      <c r="D53" s="9">
        <f t="shared" si="15"/>
        <v>-164.99063999999998</v>
      </c>
      <c r="E53" s="9">
        <f t="shared" si="16"/>
        <v>-61.235185997026989</v>
      </c>
      <c r="F53" s="9"/>
      <c r="G53" s="9">
        <v>777.55534999999998</v>
      </c>
      <c r="H53" s="9">
        <v>79.647759999999991</v>
      </c>
      <c r="I53" s="9">
        <f t="shared" si="17"/>
        <v>697.90759000000003</v>
      </c>
      <c r="J53" s="9">
        <f t="shared" si="18"/>
        <v>876.24258359557143</v>
      </c>
      <c r="K53" s="9"/>
      <c r="L53" s="9">
        <v>87.721299999999999</v>
      </c>
      <c r="M53" s="9">
        <v>141.73007000000001</v>
      </c>
      <c r="N53" s="9">
        <f t="shared" si="19"/>
        <v>-54.008770000000013</v>
      </c>
      <c r="O53" s="9">
        <f t="shared" si="20"/>
        <v>-38.106782844318083</v>
      </c>
      <c r="P53" s="9"/>
      <c r="Q53" s="9">
        <v>2659.7959000000001</v>
      </c>
      <c r="R53" s="9">
        <v>7157.3907900000004</v>
      </c>
      <c r="S53" s="9">
        <f t="shared" si="21"/>
        <v>-4497.5948900000003</v>
      </c>
      <c r="T53" s="9">
        <f t="shared" si="22"/>
        <v>-62.838470358274236</v>
      </c>
      <c r="U53" s="9"/>
      <c r="V53" s="9">
        <v>45.069360000000003</v>
      </c>
      <c r="W53" s="9">
        <v>27.431450000000002</v>
      </c>
      <c r="X53" s="9">
        <f t="shared" si="23"/>
        <v>17.637910000000002</v>
      </c>
      <c r="Y53" s="9">
        <f t="shared" si="24"/>
        <v>64.298132253307799</v>
      </c>
      <c r="Z53" s="9"/>
      <c r="AA53" s="9">
        <f t="shared" si="27"/>
        <v>3674.5889099999999</v>
      </c>
      <c r="AB53" s="9">
        <f t="shared" si="27"/>
        <v>7675.6377100000009</v>
      </c>
      <c r="AC53" s="11">
        <f t="shared" si="25"/>
        <v>-4001.0488000000009</v>
      </c>
      <c r="AD53" s="11">
        <f t="shared" si="26"/>
        <v>-52.12659783026681</v>
      </c>
    </row>
    <row r="54" spans="1:41" s="13" customFormat="1" ht="15" customHeight="1" x14ac:dyDescent="0.25">
      <c r="A54" s="8" t="s">
        <v>48</v>
      </c>
      <c r="B54" s="9">
        <v>49170.62053</v>
      </c>
      <c r="C54" s="9">
        <v>111771.37466</v>
      </c>
      <c r="D54" s="9">
        <f t="shared" si="15"/>
        <v>-62600.754130000001</v>
      </c>
      <c r="E54" s="9">
        <f t="shared" si="16"/>
        <v>-56.007859186152729</v>
      </c>
      <c r="F54" s="9"/>
      <c r="G54" s="9">
        <v>119820.82039000001</v>
      </c>
      <c r="H54" s="9">
        <v>151010.47917999999</v>
      </c>
      <c r="I54" s="9">
        <f t="shared" si="17"/>
        <v>-31189.658789999987</v>
      </c>
      <c r="J54" s="9">
        <f t="shared" si="18"/>
        <v>-20.653969816772015</v>
      </c>
      <c r="K54" s="9"/>
      <c r="L54" s="9">
        <v>14183.10262</v>
      </c>
      <c r="M54" s="9">
        <v>18412.583770000005</v>
      </c>
      <c r="N54" s="9">
        <f t="shared" si="19"/>
        <v>-4229.4811500000051</v>
      </c>
      <c r="O54" s="9">
        <f t="shared" si="20"/>
        <v>-22.970600991324119</v>
      </c>
      <c r="P54" s="9"/>
      <c r="Q54" s="9">
        <v>22167.598900000001</v>
      </c>
      <c r="R54" s="9">
        <v>30346.45089</v>
      </c>
      <c r="S54" s="9">
        <f t="shared" si="21"/>
        <v>-8178.8519899999992</v>
      </c>
      <c r="T54" s="9">
        <f t="shared" si="22"/>
        <v>-26.951593185136385</v>
      </c>
      <c r="U54" s="9"/>
      <c r="V54" s="9">
        <v>6246.0031300000001</v>
      </c>
      <c r="W54" s="9">
        <v>6495.9978599999995</v>
      </c>
      <c r="X54" s="9">
        <f t="shared" si="23"/>
        <v>-249.99472999999944</v>
      </c>
      <c r="Y54" s="9">
        <f t="shared" si="24"/>
        <v>-3.8484423084461956</v>
      </c>
      <c r="Z54" s="9"/>
      <c r="AA54" s="9">
        <f t="shared" si="27"/>
        <v>211588.14557000002</v>
      </c>
      <c r="AB54" s="9">
        <f t="shared" si="27"/>
        <v>318036.88636</v>
      </c>
      <c r="AC54" s="11">
        <f t="shared" si="25"/>
        <v>-106448.74078999998</v>
      </c>
      <c r="AD54" s="11">
        <f t="shared" si="26"/>
        <v>-33.470564376455989</v>
      </c>
    </row>
    <row r="55" spans="1:41" ht="15" hidden="1" customHeight="1" x14ac:dyDescent="0.25">
      <c r="A55" s="14" t="s">
        <v>49</v>
      </c>
      <c r="B55" s="17"/>
      <c r="C55" s="17"/>
      <c r="D55" s="15">
        <f t="shared" si="15"/>
        <v>0</v>
      </c>
      <c r="E55" s="9" t="e">
        <f t="shared" si="16"/>
        <v>#DIV/0!</v>
      </c>
      <c r="F55" s="15"/>
      <c r="G55" s="15"/>
      <c r="H55" s="15"/>
      <c r="I55" s="15">
        <f t="shared" si="17"/>
        <v>0</v>
      </c>
      <c r="J55" s="9" t="e">
        <f t="shared" si="18"/>
        <v>#DIV/0!</v>
      </c>
      <c r="K55" s="15"/>
      <c r="L55" s="17"/>
      <c r="M55" s="17"/>
      <c r="N55" s="15">
        <f t="shared" si="19"/>
        <v>0</v>
      </c>
      <c r="O55" s="9" t="e">
        <f t="shared" si="20"/>
        <v>#DIV/0!</v>
      </c>
      <c r="P55" s="15"/>
      <c r="Q55" s="15"/>
      <c r="R55" s="15"/>
      <c r="S55" s="15">
        <f t="shared" si="21"/>
        <v>0</v>
      </c>
      <c r="T55" s="9" t="e">
        <f t="shared" si="22"/>
        <v>#DIV/0!</v>
      </c>
      <c r="U55" s="15"/>
      <c r="V55" s="15"/>
      <c r="W55" s="15"/>
      <c r="X55" s="15">
        <f t="shared" si="23"/>
        <v>0</v>
      </c>
      <c r="Y55" s="9" t="e">
        <f t="shared" si="24"/>
        <v>#DIV/0!</v>
      </c>
      <c r="Z55" s="15"/>
      <c r="AA55" s="15">
        <f>B55+G55+L55+Q55+V55</f>
        <v>0</v>
      </c>
      <c r="AB55" s="15">
        <f>C55+H55+M55+R55+W55</f>
        <v>0</v>
      </c>
      <c r="AC55" s="17">
        <f t="shared" si="25"/>
        <v>0</v>
      </c>
      <c r="AD55" s="11" t="e">
        <f t="shared" si="26"/>
        <v>#DIV/0!</v>
      </c>
      <c r="AF55" s="16"/>
      <c r="AK55" s="16"/>
      <c r="AO55" s="16"/>
    </row>
    <row r="56" spans="1:41" ht="11.25" customHeight="1" x14ac:dyDescent="0.25">
      <c r="B56" s="15"/>
      <c r="C56" s="15"/>
      <c r="D56" s="15"/>
      <c r="E56" s="9"/>
      <c r="F56" s="15"/>
      <c r="G56" s="15"/>
      <c r="H56" s="15"/>
      <c r="I56" s="15"/>
      <c r="J56" s="9"/>
      <c r="K56" s="15"/>
      <c r="L56" s="15"/>
      <c r="M56" s="15"/>
      <c r="N56" s="15"/>
      <c r="O56" s="9"/>
      <c r="P56" s="15"/>
      <c r="Q56" s="15"/>
      <c r="R56" s="15"/>
      <c r="S56" s="15"/>
      <c r="T56" s="9"/>
      <c r="U56" s="15"/>
      <c r="V56" s="15"/>
      <c r="W56" s="15"/>
      <c r="X56" s="15"/>
      <c r="Y56" s="9"/>
      <c r="Z56" s="15"/>
      <c r="AA56" s="17"/>
      <c r="AB56" s="17"/>
      <c r="AC56" s="17"/>
      <c r="AD56" s="11"/>
    </row>
    <row r="57" spans="1:41" ht="15.6" x14ac:dyDescent="0.3">
      <c r="A57" s="1" t="s">
        <v>50</v>
      </c>
      <c r="B57" s="15"/>
      <c r="C57" s="15"/>
      <c r="D57" s="15"/>
      <c r="E57" s="9"/>
      <c r="F57" s="15"/>
      <c r="G57" s="15"/>
      <c r="H57" s="15"/>
      <c r="I57" s="15"/>
      <c r="J57" s="9"/>
      <c r="K57" s="15"/>
      <c r="L57" s="15"/>
      <c r="M57" s="15"/>
      <c r="N57" s="15"/>
      <c r="O57" s="9"/>
      <c r="P57" s="15"/>
      <c r="Q57" s="15"/>
      <c r="R57" s="15"/>
      <c r="S57" s="15"/>
      <c r="T57" s="9"/>
      <c r="U57" s="15"/>
      <c r="V57" s="15"/>
      <c r="W57" s="15"/>
      <c r="X57" s="15"/>
      <c r="Y57" s="9"/>
      <c r="Z57" s="15"/>
      <c r="AA57" s="17"/>
      <c r="AB57" s="17"/>
      <c r="AC57" s="17"/>
      <c r="AD57" s="11"/>
    </row>
    <row r="58" spans="1:41" s="13" customFormat="1" ht="15" customHeight="1" x14ac:dyDescent="0.25">
      <c r="A58" s="8" t="s">
        <v>51</v>
      </c>
      <c r="B58" s="9">
        <f>+'[5]financial profile(mcso)'!$D$51</f>
        <v>113029.18554999999</v>
      </c>
      <c r="C58" s="9">
        <f>+'[6]financial profile(mcso)'!$D$51</f>
        <v>113029.18554999999</v>
      </c>
      <c r="D58" s="9">
        <f>B58-C58</f>
        <v>0</v>
      </c>
      <c r="E58" s="9">
        <f>D58/C58*100</f>
        <v>0</v>
      </c>
      <c r="F58" s="9"/>
      <c r="G58" s="9">
        <f>+'[5]financial profile(mcso)'!$D$52</f>
        <v>1059332.4638799999</v>
      </c>
      <c r="H58" s="9">
        <f>+'[6]financial profile(mcso)'!$D$52</f>
        <v>1027425.23188</v>
      </c>
      <c r="I58" s="9">
        <f>G58-H58</f>
        <v>31907.23199999996</v>
      </c>
      <c r="J58" s="9">
        <f>I58/H58*100</f>
        <v>3.1055526971646952</v>
      </c>
      <c r="K58" s="9"/>
      <c r="L58" s="9">
        <f>+'[5]financial profile(mcso)'!$D$53</f>
        <v>743003.86047000007</v>
      </c>
      <c r="M58" s="9">
        <f>+'[6]financial profile(mcso)'!$D$53</f>
        <v>698257.73991</v>
      </c>
      <c r="N58" s="9">
        <f>L58-M58</f>
        <v>44746.120560000069</v>
      </c>
      <c r="O58" s="9">
        <f>N58/M58*100</f>
        <v>6.4082527127830327</v>
      </c>
      <c r="P58" s="9"/>
      <c r="Q58" s="9">
        <f>+'[5]financial profile(mcso)'!$D$54</f>
        <v>151022.41759999999</v>
      </c>
      <c r="R58" s="9">
        <f>+'[6]financial profile(mcso)'!$D$54</f>
        <v>130790.7916</v>
      </c>
      <c r="S58" s="9">
        <f>Q58-R58</f>
        <v>20231.625999999989</v>
      </c>
      <c r="T58" s="9">
        <f>S58/R58*100</f>
        <v>15.468692980981997</v>
      </c>
      <c r="U58" s="9"/>
      <c r="V58" s="9">
        <f>+'[5]financial profile(mcso)'!$D$55</f>
        <v>196419.70447999999</v>
      </c>
      <c r="W58" s="9">
        <f>+'[6]financial profile(mcso)'!$D$55</f>
        <v>179940.68047999998</v>
      </c>
      <c r="X58" s="9">
        <f>V58-W58</f>
        <v>16479.024000000005</v>
      </c>
      <c r="Y58" s="9">
        <f>X58/W58*100</f>
        <v>9.1580313890341287</v>
      </c>
      <c r="Z58" s="9"/>
      <c r="AA58" s="9">
        <f>B58+G58+L58+Q58+V58</f>
        <v>2262807.6319800001</v>
      </c>
      <c r="AB58" s="9">
        <f>C58+H58+M58+R58+W58</f>
        <v>2149443.6294200001</v>
      </c>
      <c r="AC58" s="9">
        <f>AA58-AB58</f>
        <v>113364.00255999994</v>
      </c>
      <c r="AD58" s="9">
        <f>AC58/AB58*100</f>
        <v>5.2741091233264754</v>
      </c>
    </row>
    <row r="59" spans="1:41" s="13" customFormat="1" ht="15" customHeight="1" x14ac:dyDescent="0.25">
      <c r="A59" s="8" t="s">
        <v>52</v>
      </c>
      <c r="B59" s="9">
        <f>+'[5]financial profile(mcso)'!$E$51</f>
        <v>113029.18554999999</v>
      </c>
      <c r="C59" s="9">
        <f>+'[6]financial profile(mcso)'!$E$51</f>
        <v>113029.18554999999</v>
      </c>
      <c r="D59" s="9">
        <f>B59-C59</f>
        <v>0</v>
      </c>
      <c r="E59" s="9">
        <f>D59/C59*100</f>
        <v>0</v>
      </c>
      <c r="F59" s="9"/>
      <c r="G59" s="9">
        <f>+'[5]financial profile(mcso)'!$E$52</f>
        <v>1075797.2491900001</v>
      </c>
      <c r="H59" s="9">
        <f>+'[6]financial profile(mcso)'!$E$52</f>
        <v>1043890.01719</v>
      </c>
      <c r="I59" s="9">
        <f>G59-H59</f>
        <v>31907.232000000076</v>
      </c>
      <c r="J59" s="9">
        <f>I59/H59*100</f>
        <v>3.0565702779579884</v>
      </c>
      <c r="K59" s="9"/>
      <c r="L59" s="9">
        <f>+'[5]financial profile(mcso)'!$E$53</f>
        <v>743465.14685000002</v>
      </c>
      <c r="M59" s="9">
        <f>+'[6]financial profile(mcso)'!$E$53</f>
        <v>698725.96984999999</v>
      </c>
      <c r="N59" s="9">
        <f>L59-M59</f>
        <v>44739.177000000025</v>
      </c>
      <c r="O59" s="9">
        <f>N59/M59*100</f>
        <v>6.402964671486945</v>
      </c>
      <c r="P59" s="9"/>
      <c r="Q59" s="9">
        <f>+'[5]financial profile(mcso)'!$E$54</f>
        <v>160917.50649999999</v>
      </c>
      <c r="R59" s="9">
        <f>+'[6]financial profile(mcso)'!$E$54</f>
        <v>136420.95250000001</v>
      </c>
      <c r="S59" s="9">
        <f>Q59-R59</f>
        <v>24496.553999999975</v>
      </c>
      <c r="T59" s="9">
        <f>S59/R59*100</f>
        <v>17.956592115129801</v>
      </c>
      <c r="U59" s="9"/>
      <c r="V59" s="9">
        <f>+'[5]financial profile(mcso)'!$E$55</f>
        <v>200893.88267999998</v>
      </c>
      <c r="W59" s="9">
        <f>+'[6]financial profile(mcso)'!$E$55</f>
        <v>184060.43667999998</v>
      </c>
      <c r="X59" s="9">
        <f>V59-W59</f>
        <v>16833.445999999996</v>
      </c>
      <c r="Y59" s="9">
        <f>X59/W59*100</f>
        <v>9.1456079881337811</v>
      </c>
      <c r="Z59" s="9"/>
      <c r="AA59" s="9">
        <f>B59+G59+L59+Q59+V59</f>
        <v>2294102.97077</v>
      </c>
      <c r="AB59" s="9">
        <f>C59+H59+M59+R59+W59</f>
        <v>2176126.56177</v>
      </c>
      <c r="AC59" s="9">
        <f>AA59-AB59</f>
        <v>117976.40899999999</v>
      </c>
      <c r="AD59" s="9">
        <f>AC59/AB59*100</f>
        <v>5.4213946501365848</v>
      </c>
    </row>
    <row r="60" spans="1:41" s="21" customFormat="1" ht="15" customHeight="1" x14ac:dyDescent="0.25">
      <c r="A60" s="22" t="s">
        <v>53</v>
      </c>
      <c r="B60" s="10">
        <f>+'[5]financial profile(mcso)'!$I$51</f>
        <v>0</v>
      </c>
      <c r="C60" s="10">
        <f>+'[6]financial profile(mcso)'!$I$51</f>
        <v>0</v>
      </c>
      <c r="D60" s="10">
        <f>B60-C60</f>
        <v>0</v>
      </c>
      <c r="E60" s="9"/>
      <c r="F60" s="10"/>
      <c r="G60" s="10">
        <f>+'[5]financial profile(mcso)'!$I$52</f>
        <v>-2.0640819372862156</v>
      </c>
      <c r="H60" s="10">
        <f>+'[6]financial profile(mcso)'!$I$52</f>
        <v>-2.0640819372862009</v>
      </c>
      <c r="I60" s="10">
        <f>G60-H60</f>
        <v>-1.4654943925052066E-14</v>
      </c>
      <c r="J60" s="9">
        <f>I60/H60*100</f>
        <v>7.0999816723942609E-13</v>
      </c>
      <c r="K60" s="10"/>
      <c r="L60" s="10">
        <f>+'[5]financial profile(mcso)'!$I$53</f>
        <v>-3.4374278010792542E-2</v>
      </c>
      <c r="M60" s="10">
        <f>+'[6]financial profile(mcso)'!$I$53</f>
        <v>-4.4850105149624744E-2</v>
      </c>
      <c r="N60" s="10">
        <f>L60-M60</f>
        <v>1.0475827138832203E-2</v>
      </c>
      <c r="O60" s="9">
        <f>N60/M60*100</f>
        <v>-23.357419350264006</v>
      </c>
      <c r="P60" s="10"/>
      <c r="Q60" s="10">
        <f>+'[5]financial profile(mcso)'!$I$54</f>
        <v>-1.7110874879213358</v>
      </c>
      <c r="R60" s="10">
        <f>+'[6]financial profile(mcso)'!$I$54</f>
        <v>-2.011990441353054</v>
      </c>
      <c r="S60" s="10">
        <f>Q60-R60</f>
        <v>0.30090295343171825</v>
      </c>
      <c r="T60" s="9">
        <f>S60/R60*100</f>
        <v>-14.95548623130448</v>
      </c>
      <c r="U60" s="10"/>
      <c r="V60" s="10">
        <f>+'[5]financial profile(mcso)'!$I$55</f>
        <v>-1.086029900799949</v>
      </c>
      <c r="W60" s="10">
        <f>+'[6]financial profile(mcso)'!$I$55</f>
        <v>-1.0000000485465652</v>
      </c>
      <c r="X60" s="10">
        <f>V60-W60</f>
        <v>-8.6029852253383776E-2</v>
      </c>
      <c r="Y60" s="9">
        <f>X60/W60*100</f>
        <v>8.6029848076930158</v>
      </c>
      <c r="Z60" s="10"/>
      <c r="AA60" s="12">
        <f>+'[5]financial profile(mcso)'!$I$56</f>
        <v>-0.99988270523572309</v>
      </c>
      <c r="AB60" s="12">
        <v>-1.0532146238015385</v>
      </c>
      <c r="AC60" s="10">
        <f>AA60-AB60</f>
        <v>5.3331918565815428E-2</v>
      </c>
      <c r="AD60" s="9">
        <f>AC60/AB60*100</f>
        <v>-5.0637275025023749</v>
      </c>
    </row>
    <row r="61" spans="1:41" s="13" customFormat="1" ht="14.25" customHeight="1" x14ac:dyDescent="0.25">
      <c r="A61" s="19" t="s">
        <v>54</v>
      </c>
      <c r="B61" s="9">
        <f>+'[5]financial profile(mcso)'!$F$51</f>
        <v>0</v>
      </c>
      <c r="C61" s="9">
        <f>+'[6]financial profile(mcso)'!$F$51</f>
        <v>0</v>
      </c>
      <c r="D61" s="9">
        <f>B61-C61</f>
        <v>0</v>
      </c>
      <c r="E61" s="9">
        <f>IFERROR(D61/C61*100,0)</f>
        <v>0</v>
      </c>
      <c r="F61" s="9"/>
      <c r="G61" s="9">
        <f>+'[5]financial profile(mcso)'!$F$52</f>
        <v>-16464.785310000181</v>
      </c>
      <c r="H61" s="9">
        <f>+'[6]financial profile(mcso)'!$F$52</f>
        <v>-16464.785310000065</v>
      </c>
      <c r="I61" s="9">
        <f>G61-H61</f>
        <v>-1.1641532182693481E-10</v>
      </c>
      <c r="J61" s="9">
        <f>I61/H61*100</f>
        <v>7.0705642153881416E-13</v>
      </c>
      <c r="K61" s="9"/>
      <c r="L61" s="9">
        <f>+'[5]financial profile(mcso)'!$F$53</f>
        <v>-461.2863799999468</v>
      </c>
      <c r="M61" s="9">
        <f>+'[6]financial profile(mcso)'!$F$53</f>
        <v>-468.22993999999017</v>
      </c>
      <c r="N61" s="9">
        <f>L61-M61</f>
        <v>6.9435600000433624</v>
      </c>
      <c r="O61" s="9">
        <f>N61/M61*100</f>
        <v>-1.4829380624492974</v>
      </c>
      <c r="P61" s="9"/>
      <c r="Q61" s="9">
        <f>+'[5]financial profile(mcso)'!$F$54</f>
        <v>-9895.0889000000025</v>
      </c>
      <c r="R61" s="9">
        <f>+'[6]financial profile(mcso)'!$F$54</f>
        <v>-5630.1609000000171</v>
      </c>
      <c r="S61" s="9">
        <f>Q61-R61</f>
        <v>-4264.9279999999853</v>
      </c>
      <c r="T61" s="9">
        <f>S61/R61*100</f>
        <v>75.751440780315392</v>
      </c>
      <c r="U61" s="9"/>
      <c r="V61" s="9">
        <f>+'[5]financial profile(mcso)'!$F$55</f>
        <v>-4474.1781999999948</v>
      </c>
      <c r="W61" s="9">
        <f>+'[6]financial profile(mcso)'!$F$55</f>
        <v>-4119.7562000000034</v>
      </c>
      <c r="X61" s="9">
        <f>V61-W61</f>
        <v>-354.42199999999139</v>
      </c>
      <c r="Y61" s="9">
        <f>X61/W61*100</f>
        <v>8.6029848076930158</v>
      </c>
      <c r="Z61" s="9"/>
      <c r="AA61" s="9">
        <f>B61+G61+L61+Q61+V61</f>
        <v>-31295.338790000125</v>
      </c>
      <c r="AB61" s="9">
        <f>C61+H61+M61+R61+W61</f>
        <v>-26682.932350000076</v>
      </c>
      <c r="AC61" s="9">
        <f>AA61-AB61</f>
        <v>-4612.4064400000498</v>
      </c>
      <c r="AD61" s="9">
        <f>AC61/AB61*100</f>
        <v>17.285980339413619</v>
      </c>
    </row>
    <row r="62" spans="1:41" s="13" customFormat="1" ht="15" customHeight="1" x14ac:dyDescent="0.25">
      <c r="A62" s="8" t="s">
        <v>55</v>
      </c>
      <c r="B62" s="9">
        <f>+'[5]financial profile(mcso)'!$K$51</f>
        <v>1.593E-2</v>
      </c>
      <c r="C62" s="9">
        <f>+'[6]financial profile(mcso)'!$K$51</f>
        <v>1.593E-2</v>
      </c>
      <c r="D62" s="9">
        <f>B62-C62</f>
        <v>0</v>
      </c>
      <c r="E62" s="9">
        <f>D62/C62*100</f>
        <v>0</v>
      </c>
      <c r="F62" s="9"/>
      <c r="G62" s="9">
        <f>+'[5]financial profile(mcso)'!$K$52</f>
        <v>89952.513619999998</v>
      </c>
      <c r="H62" s="9">
        <f>+'[6]financial profile(mcso)'!$K$52</f>
        <v>111899.43962</v>
      </c>
      <c r="I62" s="9">
        <f>G62-H62</f>
        <v>-21946.926000000007</v>
      </c>
      <c r="J62" s="9">
        <f>I62/H62*100</f>
        <v>-19.613079452881717</v>
      </c>
      <c r="K62" s="9"/>
      <c r="L62" s="9">
        <f>+'[5]financial profile(mcso)'!$K$53</f>
        <v>197893.20629</v>
      </c>
      <c r="M62" s="9">
        <f>+'[6]financial profile(mcso)'!$K$53</f>
        <v>175994.31772999998</v>
      </c>
      <c r="N62" s="9">
        <f>L62-M62</f>
        <v>21898.888560000021</v>
      </c>
      <c r="O62" s="9">
        <f>N62/M62*100</f>
        <v>12.442952046665503</v>
      </c>
      <c r="P62" s="9"/>
      <c r="Q62" s="9">
        <f>+'[5]financial profile(mcso)'!$K$54</f>
        <v>187763.64864</v>
      </c>
      <c r="R62" s="9">
        <f>+'[6]financial profile(mcso)'!$K$54</f>
        <v>113464.1848</v>
      </c>
      <c r="S62" s="9">
        <f>Q62-R62</f>
        <v>74299.463839999997</v>
      </c>
      <c r="T62" s="9">
        <f>S62/R62*100</f>
        <v>65.482745917547021</v>
      </c>
      <c r="U62" s="9"/>
      <c r="V62" s="9">
        <f>+'[5]financial profile(mcso)'!$K$55</f>
        <v>72051.146870000011</v>
      </c>
      <c r="W62" s="9">
        <f>+'[6]financial profile(mcso)'!$K$55</f>
        <v>83378.226869999999</v>
      </c>
      <c r="X62" s="9">
        <f>V62-W62</f>
        <v>-11327.079999999987</v>
      </c>
      <c r="Y62" s="9">
        <f>X62/W62*100</f>
        <v>-13.585177360104716</v>
      </c>
      <c r="Z62" s="9"/>
      <c r="AA62" s="9">
        <f>B62+G62+L62+Q62+V62</f>
        <v>547660.53135000006</v>
      </c>
      <c r="AB62" s="9">
        <f>C62+H62+M62+R62+W62</f>
        <v>484736.18494999997</v>
      </c>
      <c r="AC62" s="9">
        <f>AA62-AB62</f>
        <v>62924.346400000097</v>
      </c>
      <c r="AD62" s="9">
        <f>AC62/AB62*100</f>
        <v>12.981153120741476</v>
      </c>
    </row>
    <row r="63" spans="1:41" ht="12.75" customHeight="1" x14ac:dyDescent="0.25">
      <c r="B63" s="15"/>
      <c r="C63" s="15"/>
      <c r="D63" s="15"/>
      <c r="E63" s="9"/>
      <c r="F63" s="15"/>
      <c r="G63" s="15"/>
      <c r="H63" s="15"/>
      <c r="I63" s="15"/>
      <c r="J63" s="9"/>
      <c r="K63" s="15"/>
      <c r="L63" s="15"/>
      <c r="M63" s="15"/>
      <c r="N63" s="15"/>
      <c r="O63" s="9"/>
      <c r="P63" s="15"/>
      <c r="Q63" s="15"/>
      <c r="R63" s="15"/>
      <c r="S63" s="15"/>
      <c r="T63" s="9"/>
      <c r="U63" s="15"/>
      <c r="V63" s="15"/>
      <c r="W63" s="15"/>
      <c r="X63" s="15"/>
      <c r="Y63" s="9"/>
      <c r="Z63" s="15"/>
      <c r="AA63" s="17"/>
      <c r="AB63" s="17"/>
      <c r="AC63" s="17"/>
      <c r="AD63" s="11"/>
    </row>
    <row r="64" spans="1:41" ht="15.6" x14ac:dyDescent="0.3">
      <c r="A64" s="1" t="s">
        <v>56</v>
      </c>
      <c r="B64" s="15"/>
      <c r="C64" s="15"/>
      <c r="D64" s="15"/>
      <c r="E64" s="9"/>
      <c r="F64" s="15"/>
      <c r="G64" s="15"/>
      <c r="H64" s="15"/>
      <c r="I64" s="15"/>
      <c r="J64" s="9"/>
      <c r="K64" s="15"/>
      <c r="L64" s="15"/>
      <c r="M64" s="15"/>
      <c r="N64" s="15"/>
      <c r="O64" s="9"/>
      <c r="P64" s="15"/>
      <c r="Q64" s="15"/>
      <c r="R64" s="15"/>
      <c r="S64" s="15"/>
      <c r="T64" s="9"/>
      <c r="U64" s="15"/>
      <c r="V64" s="15"/>
      <c r="W64" s="15"/>
      <c r="X64" s="15"/>
      <c r="Y64" s="9"/>
      <c r="Z64" s="15"/>
      <c r="AA64" s="17"/>
      <c r="AB64" s="17"/>
      <c r="AC64" s="17"/>
      <c r="AD64" s="11"/>
    </row>
    <row r="65" spans="1:30" ht="9.75" customHeight="1" x14ac:dyDescent="0.25">
      <c r="B65" s="15"/>
      <c r="C65" s="15"/>
      <c r="D65" s="15"/>
      <c r="E65" s="9"/>
      <c r="F65" s="15"/>
      <c r="G65" s="15"/>
      <c r="H65" s="15"/>
      <c r="I65" s="15"/>
      <c r="J65" s="9"/>
      <c r="K65" s="15"/>
      <c r="L65" s="15"/>
      <c r="M65" s="15"/>
      <c r="N65" s="15"/>
      <c r="O65" s="9"/>
      <c r="P65" s="15"/>
      <c r="Q65" s="15"/>
      <c r="R65" s="15"/>
      <c r="S65" s="15"/>
      <c r="T65" s="9"/>
      <c r="U65" s="15"/>
      <c r="V65" s="15"/>
      <c r="W65" s="15"/>
      <c r="X65" s="15"/>
      <c r="Y65" s="9"/>
      <c r="Z65" s="15"/>
      <c r="AA65" s="17"/>
      <c r="AB65" s="17"/>
      <c r="AC65" s="17"/>
      <c r="AD65" s="11"/>
    </row>
    <row r="66" spans="1:30" s="13" customFormat="1" ht="15" customHeight="1" x14ac:dyDescent="0.25">
      <c r="A66" s="8" t="s">
        <v>57</v>
      </c>
      <c r="B66" s="9">
        <f>VLOOKUP(A66,'[7]REG4 (CALABARZON)'!$A$66:$V$78,2,FALSE)</f>
        <v>270135.52444000001</v>
      </c>
      <c r="C66" s="9">
        <v>273741.75218000001</v>
      </c>
      <c r="D66" s="9">
        <f>B66-C66</f>
        <v>-3606.2277400000021</v>
      </c>
      <c r="E66" s="9">
        <f>D66/C66*100</f>
        <v>-1.3173831581339159</v>
      </c>
      <c r="F66" s="9"/>
      <c r="G66" s="9">
        <f>VLOOKUP(A66,'[7]REG4 (CALABARZON)'!$A$66:$V$78,7,FALSE)</f>
        <v>623637.2665453403</v>
      </c>
      <c r="H66" s="9">
        <v>614802.68500000006</v>
      </c>
      <c r="I66" s="9">
        <f>G66-H66</f>
        <v>8834.5815453402465</v>
      </c>
      <c r="J66" s="9">
        <f>I66/H66*100</f>
        <v>1.4369783608443816</v>
      </c>
      <c r="K66" s="9"/>
      <c r="L66" s="9">
        <f>VLOOKUP(A66,'[7]REG4 (CALABARZON)'!$A$66:$V$78,12,FALSE)</f>
        <v>71885.035000000003</v>
      </c>
      <c r="M66" s="9">
        <v>70699.456999999995</v>
      </c>
      <c r="N66" s="9">
        <f>L66-M66</f>
        <v>1185.5780000000086</v>
      </c>
      <c r="O66" s="9">
        <f>N66/M66*100</f>
        <v>1.6769265993089717</v>
      </c>
      <c r="P66" s="9"/>
      <c r="Q66" s="9">
        <f>VLOOKUP(A66,'[7]REG4 (CALABARZON)'!$A$66:$V$78,17,FALSE)</f>
        <v>116882.27243200001</v>
      </c>
      <c r="R66" s="9">
        <v>121027.92625999999</v>
      </c>
      <c r="S66" s="9">
        <f>IFERROR(Q66-R66,0)</f>
        <v>-4145.6538279999804</v>
      </c>
      <c r="T66" s="9">
        <f>S66/R66*100</f>
        <v>-3.4253696284062731</v>
      </c>
      <c r="U66" s="9"/>
      <c r="V66" s="9">
        <f>VLOOKUP(A66,'[7]REG4 (CALABARZON)'!$A$66:$V$78,22,FALSE)</f>
        <v>28448.606600000003</v>
      </c>
      <c r="W66" s="9">
        <v>28172.669000000002</v>
      </c>
      <c r="X66" s="9">
        <f>V66-W66</f>
        <v>275.93760000000111</v>
      </c>
      <c r="Y66" s="9">
        <f>X66/W66*100</f>
        <v>0.97945139667101155</v>
      </c>
      <c r="Z66" s="9"/>
      <c r="AA66" s="9">
        <f t="shared" ref="AA66:AB68" si="28">B66+G66+L66+Q66+V66</f>
        <v>1110988.7050173404</v>
      </c>
      <c r="AB66" s="9">
        <f t="shared" si="28"/>
        <v>1108444.4894400002</v>
      </c>
      <c r="AC66" s="11">
        <f>AA66-AB66</f>
        <v>2544.2155773402192</v>
      </c>
      <c r="AD66" s="11">
        <f>AC66/AB66*100</f>
        <v>0.22953026530228757</v>
      </c>
    </row>
    <row r="67" spans="1:30" s="13" customFormat="1" ht="15" customHeight="1" x14ac:dyDescent="0.25">
      <c r="A67" s="8" t="s">
        <v>58</v>
      </c>
      <c r="B67" s="9">
        <f>VLOOKUP(A67,'[7]REG4 (CALABARZON)'!$A$66:$V$78,2,FALSE)</f>
        <v>241635.86515999999</v>
      </c>
      <c r="C67" s="9">
        <v>244491.04861</v>
      </c>
      <c r="D67" s="9">
        <f>B67-C67</f>
        <v>-2855.1834500000114</v>
      </c>
      <c r="E67" s="9">
        <f>D67/C67*100</f>
        <v>-1.1678069468115613</v>
      </c>
      <c r="F67" s="9"/>
      <c r="G67" s="9">
        <f>VLOOKUP(A67,'[7]REG4 (CALABARZON)'!$A$66:$V$78,7,FALSE)</f>
        <v>566623.22224999999</v>
      </c>
      <c r="H67" s="9">
        <v>560583</v>
      </c>
      <c r="I67" s="9">
        <f>G67-H67</f>
        <v>6040.2222499999916</v>
      </c>
      <c r="J67" s="9">
        <f>I67/H67*100</f>
        <v>1.07748937267095</v>
      </c>
      <c r="K67" s="9"/>
      <c r="L67" s="9">
        <f>VLOOKUP(A67,'[7]REG4 (CALABARZON)'!$A$66:$V$78,12,FALSE)</f>
        <v>64877.891000000003</v>
      </c>
      <c r="M67" s="9">
        <v>63689.358999999997</v>
      </c>
      <c r="N67" s="9">
        <f>L67-M67</f>
        <v>1188.5320000000065</v>
      </c>
      <c r="O67" s="9">
        <f>N67/M67*100</f>
        <v>1.8661390515800396</v>
      </c>
      <c r="P67" s="9"/>
      <c r="Q67" s="9">
        <f>VLOOKUP(A67,'[7]REG4 (CALABARZON)'!$A$66:$V$78,17,FALSE)</f>
        <v>104121.08257</v>
      </c>
      <c r="R67" s="9">
        <v>105985.86477</v>
      </c>
      <c r="S67" s="9">
        <f>IFERROR(Q67-R67,0)</f>
        <v>-1864.7822000000015</v>
      </c>
      <c r="T67" s="9">
        <f>S67/R67*100</f>
        <v>-1.7594631171305406</v>
      </c>
      <c r="U67" s="9"/>
      <c r="V67" s="9">
        <f>VLOOKUP(A67,'[7]REG4 (CALABARZON)'!$A$66:$V$78,22,FALSE)</f>
        <v>26251.264429999999</v>
      </c>
      <c r="W67" s="9">
        <v>26028.088919999998</v>
      </c>
      <c r="X67" s="9">
        <f>V67-W67</f>
        <v>223.17551000000094</v>
      </c>
      <c r="Y67" s="9">
        <f>X67/W67*100</f>
        <v>0.8574410156886807</v>
      </c>
      <c r="Z67" s="9"/>
      <c r="AA67" s="9">
        <f>B67+G67+L67+Q67+V67</f>
        <v>1003509.3254099999</v>
      </c>
      <c r="AB67" s="9">
        <f t="shared" si="28"/>
        <v>1000777.3612999999</v>
      </c>
      <c r="AC67" s="11">
        <f>AA67-AB67</f>
        <v>2731.964110000059</v>
      </c>
      <c r="AD67" s="11">
        <f>AC67/AB67*100</f>
        <v>0.27298420364458131</v>
      </c>
    </row>
    <row r="68" spans="1:30" s="13" customFormat="1" ht="15" customHeight="1" x14ac:dyDescent="0.25">
      <c r="A68" s="8" t="s">
        <v>59</v>
      </c>
      <c r="B68" s="9">
        <f>VLOOKUP(A68,'[7]REG4 (CALABARZON)'!$A$66:$V$78,2,FALSE)</f>
        <v>344.30399999999997</v>
      </c>
      <c r="C68" s="9">
        <v>332.15199999999999</v>
      </c>
      <c r="D68" s="9">
        <f>B68-C68</f>
        <v>12.151999999999987</v>
      </c>
      <c r="E68" s="9">
        <f>D68/C68*100</f>
        <v>3.6585659577542771</v>
      </c>
      <c r="F68" s="9"/>
      <c r="G68" s="9">
        <f>VLOOKUP(A68,'[7]REG4 (CALABARZON)'!$A$66:$V$78,7,FALSE)</f>
        <v>619.76300000000003</v>
      </c>
      <c r="H68" s="9">
        <v>598</v>
      </c>
      <c r="I68" s="9">
        <f>G68-H68</f>
        <v>21.763000000000034</v>
      </c>
      <c r="J68" s="9">
        <f>I68/H68*100</f>
        <v>3.639297658862882</v>
      </c>
      <c r="K68" s="9"/>
      <c r="L68" s="9">
        <f>VLOOKUP(A68,'[7]REG4 (CALABARZON)'!$A$66:$V$78,12,FALSE)</f>
        <v>0</v>
      </c>
      <c r="M68" s="9">
        <v>0</v>
      </c>
      <c r="N68" s="9">
        <f>L68-M68</f>
        <v>0</v>
      </c>
      <c r="O68" s="9"/>
      <c r="P68" s="9"/>
      <c r="Q68" s="9">
        <f>VLOOKUP(A68,'[7]REG4 (CALABARZON)'!$A$66:$V$78,17,FALSE)</f>
        <v>179.14452</v>
      </c>
      <c r="R68" s="9">
        <v>175.65135000000001</v>
      </c>
      <c r="S68" s="9">
        <f>IFERROR(Q68-R68,0)</f>
        <v>3.4931699999999921</v>
      </c>
      <c r="T68" s="9">
        <f>S68/R68*100</f>
        <v>1.9886952192510858</v>
      </c>
      <c r="U68" s="9"/>
      <c r="V68" s="9">
        <f>VLOOKUP(A68,'[7]REG4 (CALABARZON)'!$A$66:$V$78,22,FALSE)</f>
        <v>0</v>
      </c>
      <c r="W68" s="9">
        <f>[8]TECHNICAL!$I$54</f>
        <v>0</v>
      </c>
      <c r="X68" s="9">
        <f>V68-W68</f>
        <v>0</v>
      </c>
      <c r="Y68" s="9"/>
      <c r="Z68" s="9"/>
      <c r="AA68" s="9">
        <f t="shared" si="28"/>
        <v>1143.2115200000001</v>
      </c>
      <c r="AB68" s="9">
        <f t="shared" si="28"/>
        <v>1105.8033500000001</v>
      </c>
      <c r="AC68" s="11">
        <f>AA68-AB68</f>
        <v>37.408169999999927</v>
      </c>
      <c r="AD68" s="11">
        <f>AC68/AB68*100</f>
        <v>3.3828953402971624</v>
      </c>
    </row>
    <row r="69" spans="1:30" s="21" customFormat="1" ht="15" customHeight="1" x14ac:dyDescent="0.25">
      <c r="A69" s="20" t="s">
        <v>60</v>
      </c>
      <c r="B69" s="10">
        <f>(B66-B67-B68)/B66*100</f>
        <v>10.422677779372785</v>
      </c>
      <c r="C69" s="10">
        <f>(C66-C67-C68)/C66*100</f>
        <v>10.56417274299629</v>
      </c>
      <c r="D69" s="10"/>
      <c r="E69" s="10">
        <f>B69-C69</f>
        <v>-0.14149496362350433</v>
      </c>
      <c r="F69" s="10"/>
      <c r="G69" s="10">
        <f>(G66-G67-G68)/G66*100</f>
        <v>9.0428016926791983</v>
      </c>
      <c r="H69" s="10">
        <f>(H66-H67-H68)/H66*100</f>
        <v>8.7217714411901195</v>
      </c>
      <c r="I69" s="10"/>
      <c r="J69" s="10">
        <f>G69-H69</f>
        <v>0.32103025148907882</v>
      </c>
      <c r="K69" s="10"/>
      <c r="L69" s="10">
        <f>(L66-L67-L68)/L66*100</f>
        <v>9.7477089633468204</v>
      </c>
      <c r="M69" s="10">
        <f>(M66-M67-M68)/M66*100</f>
        <v>9.9153491376885654</v>
      </c>
      <c r="N69" s="10"/>
      <c r="O69" s="10">
        <f>L69-M69</f>
        <v>-0.16764017434174505</v>
      </c>
      <c r="P69" s="10"/>
      <c r="Q69" s="10">
        <f>SUM(Q66-Q67-Q68)/Q66*100</f>
        <v>10.76471656496927</v>
      </c>
      <c r="R69" s="10">
        <f>SUM(R66-R67-R68)/R66*100</f>
        <v>12.283454405442768</v>
      </c>
      <c r="S69" s="10"/>
      <c r="T69" s="10">
        <f>IFERROR(Q69-R69,0)</f>
        <v>-1.5187378404734986</v>
      </c>
      <c r="U69" s="10"/>
      <c r="V69" s="10">
        <f>(V66-V67-V68)/V66*100</f>
        <v>7.7239008605785404</v>
      </c>
      <c r="W69" s="10">
        <f>(W66-W67-W68)/W66*100</f>
        <v>7.6122715955666216</v>
      </c>
      <c r="X69" s="10"/>
      <c r="Y69" s="10">
        <f>V69-W69</f>
        <v>0.11162926501191883</v>
      </c>
      <c r="Z69" s="10"/>
      <c r="AA69" s="10">
        <f>(AA66-AA67-AA68)/AA66*100</f>
        <v>9.5713095558141372</v>
      </c>
      <c r="AB69" s="10">
        <f>(AB66-AB67-AB68)/AB66*100</f>
        <v>9.6135914612951314</v>
      </c>
      <c r="AC69" s="12"/>
      <c r="AD69" s="12">
        <f>AA69-AB69</f>
        <v>-4.2281905480994197E-2</v>
      </c>
    </row>
    <row r="70" spans="1:30" s="21" customFormat="1" ht="15" customHeight="1" x14ac:dyDescent="0.25">
      <c r="A70" s="20" t="s">
        <v>61</v>
      </c>
      <c r="B70" s="10">
        <f>B13/(B67+B68)</f>
        <v>12.09237466552567</v>
      </c>
      <c r="C70" s="10">
        <f>C13/(C67+C68)</f>
        <v>12.521693467170461</v>
      </c>
      <c r="D70" s="10">
        <f>B70-C70</f>
        <v>-0.42931880164479175</v>
      </c>
      <c r="E70" s="9">
        <f>D70/C70*100</f>
        <v>-3.4286001551657961</v>
      </c>
      <c r="F70" s="10"/>
      <c r="G70" s="10">
        <f>G13/(G67+G68)</f>
        <v>11.220133479526355</v>
      </c>
      <c r="H70" s="10">
        <f>H13/(H67+H68)</f>
        <v>10.277662517262701</v>
      </c>
      <c r="I70" s="10">
        <f>G70-H70</f>
        <v>0.94247096226365379</v>
      </c>
      <c r="J70" s="9">
        <f>I70/H70*100</f>
        <v>9.1700905792601048</v>
      </c>
      <c r="K70" s="10"/>
      <c r="L70" s="10">
        <f>L13/(L67+L68)</f>
        <v>14.017216213301385</v>
      </c>
      <c r="M70" s="10">
        <f>M13/(M67+M68)</f>
        <v>13.005892268911044</v>
      </c>
      <c r="N70" s="10">
        <f>L70-M70</f>
        <v>1.011323944390341</v>
      </c>
      <c r="O70" s="9">
        <f>N70/M70*100</f>
        <v>7.7758905231576012</v>
      </c>
      <c r="P70" s="10"/>
      <c r="Q70" s="10">
        <f>Q13/(Q67+Q68)</f>
        <v>13.584491678789883</v>
      </c>
      <c r="R70" s="10">
        <f>R13/(R67+R68)</f>
        <v>14.4813011788777</v>
      </c>
      <c r="S70" s="10">
        <f>Q70-R70</f>
        <v>-0.89680950008781757</v>
      </c>
      <c r="T70" s="9">
        <f>S70/R70*100</f>
        <v>-6.1928792793557532</v>
      </c>
      <c r="U70" s="10"/>
      <c r="V70" s="10">
        <f>V13/(V67+V68)</f>
        <v>13.571348571418127</v>
      </c>
      <c r="W70" s="10">
        <f>W13/(W67+W68)</f>
        <v>14.162119300151831</v>
      </c>
      <c r="X70" s="10">
        <f>V70-W70</f>
        <v>-0.59077072873370362</v>
      </c>
      <c r="Y70" s="9">
        <f>X70/W70*100</f>
        <v>-4.17148532795773</v>
      </c>
      <c r="Z70" s="10"/>
      <c r="AA70" s="10">
        <f>AA13/(AA67+AA68)</f>
        <v>11.917747170735749</v>
      </c>
      <c r="AB70" s="10">
        <f>AB13/(AB67+AB68)</f>
        <v>11.545794100294149</v>
      </c>
      <c r="AC70" s="12">
        <f>AA70-AB70</f>
        <v>0.37195307044160053</v>
      </c>
      <c r="AD70" s="11">
        <f>AC70/AB70*100</f>
        <v>3.2215460210928617</v>
      </c>
    </row>
    <row r="71" spans="1:30" s="21" customFormat="1" ht="15" customHeight="1" x14ac:dyDescent="0.25">
      <c r="A71" s="20" t="s">
        <v>62</v>
      </c>
      <c r="B71" s="10">
        <f>B23/B66</f>
        <v>8.2126794017895293</v>
      </c>
      <c r="C71" s="10">
        <f>C23/C66</f>
        <v>9.1280162217159955</v>
      </c>
      <c r="D71" s="10">
        <f>B71-C71</f>
        <v>-0.91533681992646621</v>
      </c>
      <c r="E71" s="9">
        <f>D71/C71*100</f>
        <v>-10.027773808605152</v>
      </c>
      <c r="F71" s="10"/>
      <c r="G71" s="10">
        <f>G23/G66</f>
        <v>7.7083028409279697</v>
      </c>
      <c r="H71" s="10">
        <f>H23/H66</f>
        <v>6.8041033989791373</v>
      </c>
      <c r="I71" s="10">
        <f>G71-H71</f>
        <v>0.90419944194883239</v>
      </c>
      <c r="J71" s="9">
        <f>I71/H71*100</f>
        <v>13.289031470105158</v>
      </c>
      <c r="K71" s="10"/>
      <c r="L71" s="10">
        <f>L23/L66</f>
        <v>9.2989665467923874</v>
      </c>
      <c r="M71" s="10">
        <f>M23/M66</f>
        <v>8.999752817479207</v>
      </c>
      <c r="N71" s="10">
        <f>L71-M71</f>
        <v>0.29921372931318047</v>
      </c>
      <c r="O71" s="9">
        <f>N71/M71*100</f>
        <v>3.3246883040170983</v>
      </c>
      <c r="P71" s="10"/>
      <c r="Q71" s="10">
        <f>Q23/Q66</f>
        <v>8.0920340201313099</v>
      </c>
      <c r="R71" s="10">
        <f>R23/R66</f>
        <v>9.8809769457748633</v>
      </c>
      <c r="S71" s="10">
        <f>Q71-R71</f>
        <v>-1.7889429256435534</v>
      </c>
      <c r="T71" s="9">
        <f>S71/R71*100</f>
        <v>-18.104919538431989</v>
      </c>
      <c r="U71" s="10"/>
      <c r="V71" s="10">
        <f>V23/V66</f>
        <v>8.1127866705429419</v>
      </c>
      <c r="W71" s="10">
        <f>W23/W66</f>
        <v>9.4579985201260115</v>
      </c>
      <c r="X71" s="10">
        <f>V71-W71</f>
        <v>-1.3452118495830696</v>
      </c>
      <c r="Y71" s="9">
        <f>X71/W71*100</f>
        <v>-14.223007613297312</v>
      </c>
      <c r="Z71" s="10"/>
      <c r="AA71" s="12">
        <f>AA23/AA66</f>
        <v>7.9845912632492011</v>
      </c>
      <c r="AB71" s="12">
        <f>AB23/AB66</f>
        <v>7.9214693428770806</v>
      </c>
      <c r="AC71" s="12">
        <f>AA71-AB71</f>
        <v>6.3121920372120499E-2</v>
      </c>
      <c r="AD71" s="11">
        <f>AC71/AB71*100</f>
        <v>0.79684611073928091</v>
      </c>
    </row>
    <row r="72" spans="1:30" s="13" customFormat="1" ht="15" hidden="1" customHeight="1" x14ac:dyDescent="0.25">
      <c r="A72" s="8" t="s">
        <v>63</v>
      </c>
      <c r="B72" s="9"/>
      <c r="C72" s="9"/>
      <c r="D72" s="9"/>
      <c r="E72" s="9" t="e">
        <f>D72/C72*100</f>
        <v>#DIV/0!</v>
      </c>
      <c r="F72" s="9"/>
      <c r="G72" s="9"/>
      <c r="H72" s="9"/>
      <c r="I72" s="9"/>
      <c r="J72" s="9" t="e">
        <f>I72/H72*100</f>
        <v>#DIV/0!</v>
      </c>
      <c r="K72" s="9"/>
      <c r="L72" s="9"/>
      <c r="M72" s="9"/>
      <c r="N72" s="9"/>
      <c r="O72" s="9">
        <v>3</v>
      </c>
      <c r="P72" s="9"/>
      <c r="Q72" s="9"/>
      <c r="R72" s="9"/>
      <c r="S72" s="9"/>
      <c r="T72" s="9">
        <f>Q72-R72</f>
        <v>0</v>
      </c>
      <c r="U72" s="9"/>
      <c r="V72" s="9"/>
      <c r="W72" s="9"/>
      <c r="X72" s="9"/>
      <c r="Y72" s="9">
        <f>V72-W72</f>
        <v>0</v>
      </c>
      <c r="Z72" s="9"/>
      <c r="AA72" s="11">
        <v>41</v>
      </c>
      <c r="AB72" s="11" t="str">
        <f>'[9]REG IV-A'!$Z$97</f>
        <v>39</v>
      </c>
      <c r="AC72" s="11"/>
      <c r="AD72" s="11">
        <v>0</v>
      </c>
    </row>
    <row r="73" spans="1:30" s="21" customFormat="1" ht="15" customHeight="1" x14ac:dyDescent="0.25">
      <c r="A73" s="20" t="s">
        <v>72</v>
      </c>
      <c r="B73" s="10">
        <v>97.09</v>
      </c>
      <c r="C73" s="10">
        <v>95.64</v>
      </c>
      <c r="D73" s="10"/>
      <c r="E73" s="10">
        <f>B73-C73</f>
        <v>1.4500000000000028</v>
      </c>
      <c r="F73" s="10"/>
      <c r="G73" s="10">
        <v>98.51</v>
      </c>
      <c r="H73" s="10">
        <v>99.17</v>
      </c>
      <c r="I73" s="10"/>
      <c r="J73" s="10">
        <f>G73-H73</f>
        <v>-0.65999999999999659</v>
      </c>
      <c r="K73" s="10"/>
      <c r="L73" s="10">
        <v>100</v>
      </c>
      <c r="M73" s="10">
        <v>100</v>
      </c>
      <c r="N73" s="10"/>
      <c r="O73" s="10">
        <f>L73-M73</f>
        <v>0</v>
      </c>
      <c r="P73" s="10"/>
      <c r="Q73" s="10">
        <v>97.77</v>
      </c>
      <c r="R73" s="10">
        <v>97.67</v>
      </c>
      <c r="S73" s="10"/>
      <c r="T73" s="10">
        <f>Q73-R73</f>
        <v>9.9999999999994316E-2</v>
      </c>
      <c r="U73" s="10"/>
      <c r="V73" s="10">
        <v>100</v>
      </c>
      <c r="W73" s="10">
        <v>100</v>
      </c>
      <c r="X73" s="10"/>
      <c r="Y73" s="10">
        <f>V73-W73</f>
        <v>0</v>
      </c>
      <c r="Z73" s="10"/>
      <c r="AA73" s="12">
        <f>+(B73+L73+G73+Q73+V73)/5</f>
        <v>98.674000000000007</v>
      </c>
      <c r="AB73" s="12">
        <f>+(C73+M73+H73+R73+W73)/5</f>
        <v>98.496000000000009</v>
      </c>
      <c r="AC73" s="12"/>
      <c r="AD73" s="10">
        <f>AA73-AB73</f>
        <v>0.17799999999999727</v>
      </c>
    </row>
    <row r="74" spans="1:30" s="13" customFormat="1" ht="15" customHeight="1" x14ac:dyDescent="0.25">
      <c r="A74" s="8" t="s">
        <v>64</v>
      </c>
      <c r="B74" s="9">
        <f>VLOOKUP(A74,'[7]REG4 (CALABARZON)'!$A$66:$V$78,2,FALSE)</f>
        <v>192337</v>
      </c>
      <c r="C74" s="9">
        <v>186164</v>
      </c>
      <c r="D74" s="9">
        <f>B74-C74</f>
        <v>6173</v>
      </c>
      <c r="E74" s="9">
        <f>D74/C74*100</f>
        <v>3.3158935132463845</v>
      </c>
      <c r="F74" s="9"/>
      <c r="G74" s="9">
        <f>VLOOKUP(A74,'[7]REG4 (CALABARZON)'!$A$66:$V$78,7,FALSE)</f>
        <v>277810</v>
      </c>
      <c r="H74" s="9">
        <v>266641</v>
      </c>
      <c r="I74" s="9">
        <f>G74-H74</f>
        <v>11169</v>
      </c>
      <c r="J74" s="9">
        <f>I74/H74*100</f>
        <v>4.1887781698988524</v>
      </c>
      <c r="K74" s="9"/>
      <c r="L74" s="9">
        <f>VLOOKUP(A74,'[7]REG4 (CALABARZON)'!$A$66:$V$78,12,FALSE)</f>
        <v>68095</v>
      </c>
      <c r="M74" s="9">
        <v>66666</v>
      </c>
      <c r="N74" s="9">
        <f>L74-M74</f>
        <v>1429</v>
      </c>
      <c r="O74" s="9">
        <f>N74/M74*100</f>
        <v>2.1435214352143519</v>
      </c>
      <c r="P74" s="9"/>
      <c r="Q74" s="9">
        <f>VLOOKUP(A74,'[7]REG4 (CALABARZON)'!$A$66:$V$78,17,FALSE)</f>
        <v>167384</v>
      </c>
      <c r="R74" s="9">
        <v>162614</v>
      </c>
      <c r="S74" s="9">
        <f>IFERROR(Q74-R74,)</f>
        <v>4770</v>
      </c>
      <c r="T74" s="9">
        <f>S74/R74*100</f>
        <v>2.9333267738325111</v>
      </c>
      <c r="U74" s="9"/>
      <c r="V74" s="9">
        <f>VLOOKUP(A74,'[7]REG4 (CALABARZON)'!$A$66:$V$78,22,FALSE)</f>
        <v>40502</v>
      </c>
      <c r="W74" s="9">
        <v>36275</v>
      </c>
      <c r="X74" s="9">
        <f>V74-W74</f>
        <v>4227</v>
      </c>
      <c r="Y74" s="9">
        <f>X74/W74*100</f>
        <v>11.652653342522399</v>
      </c>
      <c r="Z74" s="9"/>
      <c r="AA74" s="9">
        <f>B74+G74+L74+Q74+V74</f>
        <v>746128</v>
      </c>
      <c r="AB74" s="9">
        <f>C74+H74+M74+R74+W74</f>
        <v>718360</v>
      </c>
      <c r="AC74" s="11">
        <f>AA74-AB74</f>
        <v>27768</v>
      </c>
      <c r="AD74" s="11">
        <f>AC74/AB74*100</f>
        <v>3.8654713514115486</v>
      </c>
    </row>
    <row r="75" spans="1:30" s="13" customFormat="1" ht="15" customHeight="1" x14ac:dyDescent="0.25">
      <c r="A75" s="8" t="s">
        <v>65</v>
      </c>
      <c r="B75" s="9">
        <f>VLOOKUP(A75,'[7]REG4 (CALABARZON)'!$A$66:$V$78,2,FALSE)</f>
        <v>412</v>
      </c>
      <c r="C75" s="9">
        <f>196+223</f>
        <v>419</v>
      </c>
      <c r="D75" s="9">
        <f>B75-C75</f>
        <v>-7</v>
      </c>
      <c r="E75" s="9">
        <f>D75/C75*100</f>
        <v>-1.6706443914081146</v>
      </c>
      <c r="F75" s="9"/>
      <c r="G75" s="9">
        <f>VLOOKUP(A75,'[7]REG4 (CALABARZON)'!$A$66:$V$78,7,FALSE)</f>
        <v>638</v>
      </c>
      <c r="H75" s="9">
        <f>373+248</f>
        <v>621</v>
      </c>
      <c r="I75" s="9">
        <f>G75-H75</f>
        <v>17</v>
      </c>
      <c r="J75" s="9">
        <f>I75/H75*100</f>
        <v>2.7375201288244768</v>
      </c>
      <c r="K75" s="9"/>
      <c r="L75" s="9">
        <f>VLOOKUP(A75,'[7]REG4 (CALABARZON)'!$A$66:$V$78,12,FALSE)</f>
        <v>184</v>
      </c>
      <c r="M75" s="9">
        <f>81+96</f>
        <v>177</v>
      </c>
      <c r="N75" s="9">
        <f>L75-M75</f>
        <v>7</v>
      </c>
      <c r="O75" s="9">
        <f>N75/M75*100</f>
        <v>3.9548022598870061</v>
      </c>
      <c r="P75" s="9"/>
      <c r="Q75" s="9">
        <f>VLOOKUP(A75,'[7]REG4 (CALABARZON)'!$A$66:$V$78,17,FALSE)</f>
        <v>432</v>
      </c>
      <c r="R75" s="9">
        <f>202+230</f>
        <v>432</v>
      </c>
      <c r="S75" s="9"/>
      <c r="T75" s="9">
        <f>S75/R75*100</f>
        <v>0</v>
      </c>
      <c r="U75" s="9"/>
      <c r="V75" s="9">
        <f>VLOOKUP(A75,'[7]REG4 (CALABARZON)'!$A$66:$V$78,22,FALSE)</f>
        <v>97</v>
      </c>
      <c r="W75" s="9">
        <f>48+49</f>
        <v>97</v>
      </c>
      <c r="X75" s="9">
        <f>V75-W75</f>
        <v>0</v>
      </c>
      <c r="Y75" s="9">
        <f>X75/W75*100</f>
        <v>0</v>
      </c>
      <c r="Z75" s="9"/>
      <c r="AA75" s="9">
        <f>B75+G75+L75+Q75+V75</f>
        <v>1763</v>
      </c>
      <c r="AB75" s="9">
        <f>C75+H75+M75+R75+W75</f>
        <v>1746</v>
      </c>
      <c r="AC75" s="11">
        <f>AA75-AB75</f>
        <v>17</v>
      </c>
      <c r="AD75" s="11">
        <f>AC75/AB75*100</f>
        <v>0.97365406643757157</v>
      </c>
    </row>
    <row r="76" spans="1:30" s="13" customFormat="1" ht="15" customHeight="1" x14ac:dyDescent="0.25">
      <c r="A76" s="8" t="s">
        <v>66</v>
      </c>
      <c r="B76" s="9">
        <f>B74/B75</f>
        <v>466.83737864077671</v>
      </c>
      <c r="C76" s="9">
        <f>C74/C75</f>
        <v>444.30548926014319</v>
      </c>
      <c r="D76" s="9">
        <f>B76-C76</f>
        <v>22.531889380633515</v>
      </c>
      <c r="E76" s="9">
        <f>D76/C76*100</f>
        <v>5.0712606360442631</v>
      </c>
      <c r="F76" s="9"/>
      <c r="G76" s="9">
        <f>G74/G75</f>
        <v>435.43887147335425</v>
      </c>
      <c r="H76" s="9">
        <f>H74/H75</f>
        <v>429.37359098228666</v>
      </c>
      <c r="I76" s="9">
        <f>G76-H76</f>
        <v>6.0652804910675968</v>
      </c>
      <c r="J76" s="9">
        <f>I76/H76*100</f>
        <v>1.4125881559673785</v>
      </c>
      <c r="K76" s="9"/>
      <c r="L76" s="9">
        <f>L74/L75</f>
        <v>370.08152173913044</v>
      </c>
      <c r="M76" s="9">
        <f>M74/M75</f>
        <v>376.64406779661016</v>
      </c>
      <c r="N76" s="9">
        <f>L76-M76</f>
        <v>-6.5625460574797216</v>
      </c>
      <c r="O76" s="9">
        <f>N76/M76*100</f>
        <v>-1.7423734019948862</v>
      </c>
      <c r="P76" s="9"/>
      <c r="Q76" s="9">
        <f>Q74/Q75</f>
        <v>387.46296296296299</v>
      </c>
      <c r="R76" s="9">
        <f>R74/R75</f>
        <v>376.4212962962963</v>
      </c>
      <c r="S76" s="9">
        <f>IFERROR(Q76-R76,0)</f>
        <v>11.041666666666686</v>
      </c>
      <c r="T76" s="9">
        <f>S76/R76*100</f>
        <v>2.9333267738325164</v>
      </c>
      <c r="U76" s="9"/>
      <c r="V76" s="9">
        <f>V74/V75</f>
        <v>417.54639175257734</v>
      </c>
      <c r="W76" s="9">
        <f>W74/W75</f>
        <v>373.96907216494844</v>
      </c>
      <c r="X76" s="9">
        <f>V76-W76</f>
        <v>43.577319587628892</v>
      </c>
      <c r="Y76" s="9">
        <f>X76/W76*100</f>
        <v>11.652653342522406</v>
      </c>
      <c r="Z76" s="9"/>
      <c r="AA76" s="9">
        <f>AA74/AA75</f>
        <v>423.21497447532613</v>
      </c>
      <c r="AB76" s="9">
        <f>AB74/AB75</f>
        <v>411.43184421534937</v>
      </c>
      <c r="AC76" s="11">
        <f>AA76-AB76</f>
        <v>11.783130259976758</v>
      </c>
      <c r="AD76" s="9">
        <f>AC76/AB76*100</f>
        <v>2.8639324898267473</v>
      </c>
    </row>
    <row r="77" spans="1:30" s="13" customFormat="1" ht="15" customHeight="1" x14ac:dyDescent="0.25">
      <c r="A77" s="8" t="s">
        <v>67</v>
      </c>
      <c r="B77" s="9">
        <f>(1000*B25)/B74</f>
        <v>1116.2665005693134</v>
      </c>
      <c r="C77" s="9">
        <f>(1000*C25)/C74</f>
        <v>1200.1271260286628</v>
      </c>
      <c r="D77" s="9">
        <f>B77-C77</f>
        <v>-83.860625459349421</v>
      </c>
      <c r="E77" s="9">
        <f>D77/C77*100</f>
        <v>-6.9876451952929655</v>
      </c>
      <c r="F77" s="9"/>
      <c r="G77" s="9">
        <f>(1000*G25)/G74</f>
        <v>1736.5002112594941</v>
      </c>
      <c r="H77" s="9">
        <f>(1000*H25)/H74</f>
        <v>1595.4722328899159</v>
      </c>
      <c r="I77" s="9">
        <f>G77-H77</f>
        <v>141.02797836957825</v>
      </c>
      <c r="J77" s="9">
        <f>I77/H77*100</f>
        <v>8.8392624742914503</v>
      </c>
      <c r="K77" s="9"/>
      <c r="L77" s="9">
        <f>(1000*L25)/L74</f>
        <v>1214.9416209707026</v>
      </c>
      <c r="M77" s="9">
        <f>(1000*M25)/M74</f>
        <v>1174.4826274262743</v>
      </c>
      <c r="N77" s="9">
        <f>L77-M77</f>
        <v>40.458993544428267</v>
      </c>
      <c r="O77" s="9">
        <f>N77/M77*100</f>
        <v>3.4448354194126209</v>
      </c>
      <c r="P77" s="9"/>
      <c r="Q77" s="9">
        <f>IFERROR((1000*Q25)/Q74,0)</f>
        <v>1203.9742633107105</v>
      </c>
      <c r="R77" s="9">
        <f>(1000*R25)/R74</f>
        <v>1205.0948227704871</v>
      </c>
      <c r="S77" s="9">
        <f>Q77-R77</f>
        <v>-1.1205594597765867</v>
      </c>
      <c r="T77" s="9">
        <f>S77/R77*100</f>
        <v>-9.2985169183653502E-2</v>
      </c>
      <c r="U77" s="9"/>
      <c r="V77" s="9">
        <f>(1000*V25)/V74</f>
        <v>1360.7082605797245</v>
      </c>
      <c r="W77" s="9">
        <f>(1000*W25)/W74</f>
        <v>1289.2010470020675</v>
      </c>
      <c r="X77" s="9">
        <f>V77-W77</f>
        <v>71.507213577657012</v>
      </c>
      <c r="Y77" s="9">
        <f>X77/W77*100</f>
        <v>5.5466301197894028</v>
      </c>
      <c r="Z77" s="9"/>
      <c r="AA77" s="9">
        <f>(1000*AA25)/AA74</f>
        <v>1389.1522062568351</v>
      </c>
      <c r="AB77" s="9">
        <f>(1000*AB25)/AB74</f>
        <v>1350.1140017122336</v>
      </c>
      <c r="AC77" s="11">
        <f>AA77-AB77</f>
        <v>39.038204544601513</v>
      </c>
      <c r="AD77" s="9">
        <f>AC77/AB77*100</f>
        <v>2.8914746825151587</v>
      </c>
    </row>
    <row r="78" spans="1:30" s="13" customFormat="1" x14ac:dyDescent="0.25">
      <c r="A78" s="8" t="s">
        <v>68</v>
      </c>
      <c r="B78" s="9">
        <f>VLOOKUP(A78,'[7]REG4 (CALABARZON)'!$A$66:$V$78,2,FALSE)</f>
        <v>88847.53</v>
      </c>
      <c r="C78" s="9">
        <v>85961.68</v>
      </c>
      <c r="D78" s="9">
        <f>B78-C78</f>
        <v>2885.8500000000058</v>
      </c>
      <c r="E78" s="9">
        <f>D78/C78*100</f>
        <v>3.3571354119649661</v>
      </c>
      <c r="F78" s="9"/>
      <c r="G78" s="9">
        <f>VLOOKUP(A78,'[7]REG4 (CALABARZON)'!$A$66:$V$78,7,FALSE)</f>
        <v>207715.55533333335</v>
      </c>
      <c r="H78" s="9">
        <v>203588.38</v>
      </c>
      <c r="I78" s="9">
        <f>G78-H78</f>
        <v>4127.1753333333472</v>
      </c>
      <c r="J78" s="9">
        <f>I78/H78*100</f>
        <v>2.027215567673041</v>
      </c>
      <c r="K78" s="9"/>
      <c r="L78" s="9">
        <f>VLOOKUP(A78,'[7]REG4 (CALABARZON)'!$A$66:$V$78,12,FALSE)</f>
        <v>22394</v>
      </c>
      <c r="M78" s="9">
        <v>21899</v>
      </c>
      <c r="N78" s="9">
        <f>L78-M78</f>
        <v>495</v>
      </c>
      <c r="O78" s="9">
        <f>N78/M78*100</f>
        <v>2.2603771861728847</v>
      </c>
      <c r="P78" s="9"/>
      <c r="Q78" s="9">
        <f>VLOOKUP(A78,'[7]REG4 (CALABARZON)'!$A$66:$V$78,17,FALSE)</f>
        <v>41865.656000000003</v>
      </c>
      <c r="R78" s="9">
        <v>41019.94</v>
      </c>
      <c r="S78" s="9">
        <f>IFERROR(Q78-R78,0)</f>
        <v>845.71600000000035</v>
      </c>
      <c r="T78" s="9">
        <f>S78/R78*100</f>
        <v>2.0617192516615099</v>
      </c>
      <c r="U78" s="9"/>
      <c r="V78" s="9">
        <f>VLOOKUP(A78,'[7]REG4 (CALABARZON)'!$A$66:$V$78,22,FALSE)</f>
        <v>9651.1553471596035</v>
      </c>
      <c r="W78" s="9">
        <v>9319.73</v>
      </c>
      <c r="X78" s="9">
        <f>V78-W78</f>
        <v>331.42534715960392</v>
      </c>
      <c r="Y78" s="9">
        <f>X78/W78*100</f>
        <v>3.5561689787107991</v>
      </c>
      <c r="Z78" s="9"/>
      <c r="AA78" s="9">
        <f>B78+G78+L78+Q78+V78</f>
        <v>370473.89668049297</v>
      </c>
      <c r="AB78" s="9">
        <f>C78+H78+M78+R78+W78</f>
        <v>361788.73</v>
      </c>
      <c r="AC78" s="11">
        <f>AA78-AB78</f>
        <v>8685.1666804929846</v>
      </c>
      <c r="AD78" s="9">
        <f>AC78/AB78*100</f>
        <v>2.4006183610232923</v>
      </c>
    </row>
    <row r="79" spans="1:30" x14ac:dyDescent="0.25">
      <c r="A79" s="2" t="s">
        <v>69</v>
      </c>
      <c r="B79" s="24" t="s">
        <v>70</v>
      </c>
      <c r="C79" s="24"/>
      <c r="D79" s="24"/>
      <c r="E79" s="24"/>
      <c r="F79" s="15"/>
      <c r="G79" s="24" t="s">
        <v>70</v>
      </c>
      <c r="H79" s="24"/>
      <c r="I79" s="24"/>
      <c r="J79" s="24"/>
      <c r="K79" s="15"/>
      <c r="L79" s="24" t="s">
        <v>70</v>
      </c>
      <c r="M79" s="24"/>
      <c r="N79" s="24"/>
      <c r="O79" s="24"/>
      <c r="P79" s="15"/>
      <c r="Q79" s="24" t="s">
        <v>70</v>
      </c>
      <c r="R79" s="24"/>
      <c r="S79" s="24"/>
      <c r="T79" s="24"/>
      <c r="U79" s="15"/>
      <c r="V79" s="24" t="s">
        <v>71</v>
      </c>
      <c r="W79" s="24"/>
      <c r="X79" s="24"/>
      <c r="Y79" s="24"/>
      <c r="Z79" s="15"/>
      <c r="AA79" s="15"/>
      <c r="AB79" s="15"/>
      <c r="AC79" s="15"/>
      <c r="AD79" s="15"/>
    </row>
    <row r="80" spans="1:30" ht="15" customHeight="1" x14ac:dyDescent="0.25">
      <c r="E80" s="16"/>
      <c r="J80" s="16"/>
      <c r="O80" s="16"/>
      <c r="T80" s="16"/>
      <c r="AD80" s="16"/>
    </row>
    <row r="81" spans="1:30" ht="15" customHeight="1" x14ac:dyDescent="0.25">
      <c r="E81" s="16"/>
      <c r="J81" s="16"/>
      <c r="O81" s="16"/>
      <c r="T81" s="16"/>
      <c r="AD81" s="16"/>
    </row>
    <row r="82" spans="1:30" ht="15" customHeight="1" x14ac:dyDescent="0.25">
      <c r="A82" s="2" t="s">
        <v>73</v>
      </c>
      <c r="E82" s="16"/>
      <c r="J82" s="16"/>
      <c r="O82" s="16"/>
      <c r="T82" s="16"/>
      <c r="AD82" s="16"/>
    </row>
    <row r="83" spans="1:30" ht="15" customHeight="1" x14ac:dyDescent="0.25">
      <c r="E83" s="16"/>
      <c r="J83" s="16"/>
      <c r="O83" s="16"/>
      <c r="T83" s="16"/>
      <c r="AD83" s="16"/>
    </row>
    <row r="84" spans="1:30" ht="15" customHeight="1" x14ac:dyDescent="0.25"/>
    <row r="85" spans="1:30" ht="15" customHeight="1" x14ac:dyDescent="0.25"/>
    <row r="86" spans="1:30" ht="15" customHeight="1" x14ac:dyDescent="0.25"/>
    <row r="87" spans="1:30" ht="15" customHeight="1" x14ac:dyDescent="0.25"/>
    <row r="88" spans="1:30" ht="15" customHeight="1" x14ac:dyDescent="0.25"/>
    <row r="89" spans="1:30" ht="15" customHeight="1" x14ac:dyDescent="0.25"/>
    <row r="90" spans="1:30" ht="15" customHeight="1" x14ac:dyDescent="0.25"/>
    <row r="91" spans="1:30" ht="15" customHeight="1" x14ac:dyDescent="0.25"/>
    <row r="92" spans="1:30" ht="15" customHeight="1" x14ac:dyDescent="0.25"/>
    <row r="93" spans="1:30" ht="15" customHeight="1" x14ac:dyDescent="0.25"/>
    <row r="94" spans="1:30" ht="15" customHeight="1" x14ac:dyDescent="0.25"/>
    <row r="95" spans="1:30" ht="15" customHeight="1" x14ac:dyDescent="0.25"/>
    <row r="96" spans="1:30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</sheetData>
  <mergeCells count="22">
    <mergeCell ref="AA6:AD6"/>
    <mergeCell ref="B6:E6"/>
    <mergeCell ref="G6:J6"/>
    <mergeCell ref="L6:O6"/>
    <mergeCell ref="Q6:T6"/>
    <mergeCell ref="V6:Y6"/>
    <mergeCell ref="B7:E7"/>
    <mergeCell ref="G7:J7"/>
    <mergeCell ref="L7:O7"/>
    <mergeCell ref="Q7:T7"/>
    <mergeCell ref="V7:Y7"/>
    <mergeCell ref="AC8:AD8"/>
    <mergeCell ref="B79:E79"/>
    <mergeCell ref="G79:J79"/>
    <mergeCell ref="L79:O79"/>
    <mergeCell ref="Q79:T79"/>
    <mergeCell ref="V79:Y79"/>
    <mergeCell ref="D8:E8"/>
    <mergeCell ref="I8:J8"/>
    <mergeCell ref="N8:O8"/>
    <mergeCell ref="S8:T8"/>
    <mergeCell ref="X8:Y8"/>
  </mergeCells>
  <pageMargins left="0.8" right="0" top="0.52" bottom="0" header="0.35" footer="0.24"/>
  <pageSetup paperSize="9" scale="69" orientation="portrait" r:id="rId1"/>
  <headerFooter alignWithMargins="0"/>
  <colBreaks count="1" manualBreakCount="1">
    <brk id="2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REG4 (CALABARZON)</vt:lpstr>
      <vt:lpstr>'REG4 (CALABARZON)'!Print_Area</vt:lpstr>
      <vt:lpstr>'REG4 (CALABARZON)'!Print_Titles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2024-03-01T08:09:19Z</dcterms:created>
  <dcterms:modified xsi:type="dcterms:W3CDTF">2024-03-08T07:09:48Z</dcterms:modified>
</cp:coreProperties>
</file>